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2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3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4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5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6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7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3.xml" ContentType="application/vnd.ms-excel.threadedcomments+xml"/>
  <Override PartName="/xl/threadedComments/threadedComment5.xml" ContentType="application/vnd.ms-excel.threadedcomments+xml"/>
  <Override PartName="/xl/threadedComments/threadedComment9.xml" ContentType="application/vnd.ms-excel.threadedcomments+xml"/>
  <Override PartName="/xl/threadedComments/threadedComment13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Cristian Saavedra\OneDrive\Escritorio\Proyecto Edificaciones Bogota\IGA\Secretaría Distrital de Salud\ENTREGABLES SDS\Anexos\"/>
    </mc:Choice>
  </mc:AlternateContent>
  <bookViews>
    <workbookView xWindow="-105" yWindow="-105" windowWidth="19425" windowHeight="10305" tabRatio="777" firstSheet="7" activeTab="13"/>
  </bookViews>
  <sheets>
    <sheet name="Unidades de Trabajo" sheetId="63" state="hidden" r:id="rId1"/>
    <sheet name="Listas desplegables" sheetId="64" state="hidden" r:id="rId2"/>
    <sheet name="Electricidad" sheetId="11" state="hidden" r:id="rId3"/>
    <sheet name="Gas natural" sheetId="12" state="hidden" r:id="rId4"/>
    <sheet name="Consumo de agua" sheetId="13" state="hidden" r:id="rId5"/>
    <sheet name="Mantenimiento" sheetId="16" state="hidden" r:id="rId6"/>
    <sheet name="Gráficos de control" sheetId="18" state="hidden" r:id="rId7"/>
    <sheet name="Precios_tarifas" sheetId="17" r:id="rId8"/>
    <sheet name="List of ECMs" sheetId="19" r:id="rId9"/>
    <sheet name="ECM-1" sheetId="83" r:id="rId10"/>
    <sheet name="ECM-5 OTIS" sheetId="78" r:id="rId11"/>
    <sheet name="ECM-5 Otras" sheetId="97" r:id="rId12"/>
    <sheet name="ECM-9" sheetId="82" r:id="rId13"/>
    <sheet name="Resumen ECM-1" sheetId="94" r:id="rId14"/>
  </sheets>
  <externalReferences>
    <externalReference r:id="rId15"/>
  </externalReferences>
  <definedNames>
    <definedName name="Costo_Energeticos_Mensual">'Gráficos de control'!$C$14</definedName>
    <definedName name="Electricidad_Mensual_2022">Electricidad!$C$17</definedName>
    <definedName name="Electricidad_USE">Electricidad!$C$19:$E$28</definedName>
    <definedName name="help" localSheetId="11">#REF!</definedName>
    <definedName name="help" localSheetId="5">#REF!</definedName>
    <definedName name="help">#REF!</definedName>
    <definedName name="jezik" localSheetId="11">#REF!</definedName>
    <definedName name="jezik" localSheetId="5">#REF!</definedName>
    <definedName name="jezik">#REF!</definedName>
  </definedNames>
  <calcPr calcId="152511" calcMode="manual"/>
  <customWorkbookViews>
    <customWorkbookView name="Guillermo J Escobar - Vista personalizada" guid="{6A7947DC-CC44-49BE-9ACE-79144A74928D}" mergeInterval="0" personalView="1" maximized="1" windowWidth="1020" windowHeight="591" activeSheetId="1"/>
    <customWorkbookView name="Unión Fenosa - Vista personalizada" guid="{B607B46B-540D-4EA4-B87E-DC0CB27BBDC9}" mergeInterval="0" personalView="1" maximized="1" windowWidth="1276" windowHeight="650" activeSheetId="1"/>
  </customWorkbookViews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4" i="83" l="1"/>
  <c r="G22" i="82" l="1"/>
  <c r="C24" i="78" l="1"/>
  <c r="E111" i="83" l="1"/>
  <c r="C21" i="78" l="1"/>
  <c r="L5" i="94" s="1"/>
  <c r="C16" i="94"/>
  <c r="F16" i="94"/>
  <c r="C17" i="94"/>
  <c r="F17" i="94"/>
  <c r="C18" i="94"/>
  <c r="F18" i="94"/>
  <c r="F19" i="94"/>
  <c r="C20" i="94"/>
  <c r="F20" i="94"/>
  <c r="F22" i="94"/>
  <c r="L9" i="94"/>
  <c r="L16" i="94"/>
  <c r="O16" i="94"/>
  <c r="O17" i="94"/>
  <c r="O18" i="94"/>
  <c r="O19" i="94"/>
  <c r="L20" i="94"/>
  <c r="O20" i="94"/>
  <c r="O22" i="94"/>
  <c r="D59" i="82" l="1"/>
  <c r="E59" i="82"/>
  <c r="F59" i="82"/>
  <c r="G59" i="82"/>
  <c r="H59" i="82"/>
  <c r="C59" i="82"/>
  <c r="E122" i="82"/>
  <c r="C9" i="94" l="1"/>
  <c r="C21" i="82" l="1"/>
  <c r="C38" i="82" s="1"/>
  <c r="C21" i="97"/>
  <c r="D100" i="97"/>
  <c r="AG72" i="97" l="1"/>
  <c r="AF72" i="97"/>
  <c r="AE72" i="97"/>
  <c r="AD72" i="97"/>
  <c r="AC72" i="97"/>
  <c r="AG71" i="97"/>
  <c r="AF71" i="97"/>
  <c r="AE71" i="97"/>
  <c r="AD71" i="97"/>
  <c r="AC71" i="97"/>
  <c r="AG70" i="97"/>
  <c r="AF70" i="97"/>
  <c r="AE70" i="97"/>
  <c r="AD70" i="97"/>
  <c r="AC70" i="97"/>
  <c r="D70" i="97"/>
  <c r="E70" i="97" s="1"/>
  <c r="C70" i="97"/>
  <c r="AG66" i="97"/>
  <c r="AF66" i="97"/>
  <c r="AE66" i="97"/>
  <c r="AD66" i="97"/>
  <c r="AC66" i="97"/>
  <c r="AG65" i="97"/>
  <c r="AF65" i="97"/>
  <c r="AE65" i="97"/>
  <c r="AD65" i="97"/>
  <c r="AC65" i="97"/>
  <c r="AG64" i="97"/>
  <c r="AF64" i="97"/>
  <c r="AE64" i="97"/>
  <c r="AD64" i="97"/>
  <c r="AC64" i="97"/>
  <c r="AG63" i="97"/>
  <c r="AF63" i="97"/>
  <c r="AE63" i="97"/>
  <c r="AD63" i="97"/>
  <c r="AC63" i="97"/>
  <c r="C63" i="97"/>
  <c r="AG62" i="97"/>
  <c r="AF62" i="97"/>
  <c r="AE62" i="97"/>
  <c r="AD62" i="97"/>
  <c r="AC62" i="97"/>
  <c r="AG61" i="97"/>
  <c r="AF61" i="97"/>
  <c r="AE61" i="97"/>
  <c r="AD61" i="97"/>
  <c r="AC61" i="97"/>
  <c r="AG60" i="97"/>
  <c r="AF60" i="97"/>
  <c r="AE60" i="97"/>
  <c r="AD60" i="97"/>
  <c r="AC60" i="97"/>
  <c r="C60" i="97"/>
  <c r="C62" i="97" s="1"/>
  <c r="C64" i="97" s="1"/>
  <c r="C66" i="97" s="1"/>
  <c r="AG58" i="97"/>
  <c r="AF58" i="97"/>
  <c r="AE58" i="97"/>
  <c r="AD58" i="97"/>
  <c r="AC58" i="97"/>
  <c r="AB58" i="97"/>
  <c r="AA58" i="97"/>
  <c r="Z58" i="97"/>
  <c r="Y58" i="97"/>
  <c r="X58" i="97"/>
  <c r="W58" i="97"/>
  <c r="V58" i="97"/>
  <c r="U58" i="97"/>
  <c r="T58" i="97"/>
  <c r="S58" i="97"/>
  <c r="R58" i="97"/>
  <c r="Q58" i="97"/>
  <c r="P58" i="97"/>
  <c r="O58" i="97"/>
  <c r="N58" i="97"/>
  <c r="M58" i="97"/>
  <c r="L58" i="97"/>
  <c r="K58" i="97"/>
  <c r="J58" i="97"/>
  <c r="I58" i="97"/>
  <c r="H58" i="97"/>
  <c r="G58" i="97"/>
  <c r="F58" i="97"/>
  <c r="E58" i="97"/>
  <c r="D58" i="97"/>
  <c r="AG57" i="97"/>
  <c r="AF57" i="97"/>
  <c r="AE57" i="97"/>
  <c r="AD57" i="97"/>
  <c r="AC57" i="97"/>
  <c r="AB57" i="97"/>
  <c r="AA57" i="97"/>
  <c r="Z57" i="97"/>
  <c r="Y57" i="97"/>
  <c r="X57" i="97"/>
  <c r="W57" i="97"/>
  <c r="V57" i="97"/>
  <c r="U57" i="97"/>
  <c r="T57" i="97"/>
  <c r="S57" i="97"/>
  <c r="R57" i="97"/>
  <c r="Q57" i="97"/>
  <c r="P57" i="97"/>
  <c r="O57" i="97"/>
  <c r="N57" i="97"/>
  <c r="M57" i="97"/>
  <c r="L57" i="97"/>
  <c r="K57" i="97"/>
  <c r="J57" i="97"/>
  <c r="I57" i="97"/>
  <c r="H57" i="97"/>
  <c r="G57" i="97"/>
  <c r="F57" i="97"/>
  <c r="E57" i="97"/>
  <c r="D57" i="97"/>
  <c r="AG56" i="97"/>
  <c r="AF56" i="97"/>
  <c r="AE56" i="97"/>
  <c r="AD56" i="97"/>
  <c r="AC56" i="97"/>
  <c r="AB56" i="97"/>
  <c r="AA56" i="97"/>
  <c r="Z56" i="97"/>
  <c r="Y56" i="97"/>
  <c r="X56" i="97"/>
  <c r="W56" i="97"/>
  <c r="V56" i="97"/>
  <c r="U56" i="97"/>
  <c r="T56" i="97"/>
  <c r="S56" i="97"/>
  <c r="R56" i="97"/>
  <c r="Q56" i="97"/>
  <c r="P56" i="97"/>
  <c r="O56" i="97"/>
  <c r="N56" i="97"/>
  <c r="M56" i="97"/>
  <c r="L56" i="97"/>
  <c r="K56" i="97"/>
  <c r="J56" i="97"/>
  <c r="I56" i="97"/>
  <c r="H56" i="97"/>
  <c r="G56" i="97"/>
  <c r="F56" i="97"/>
  <c r="E56" i="97"/>
  <c r="D56" i="97"/>
  <c r="AG55" i="97"/>
  <c r="AF55" i="97"/>
  <c r="AE55" i="97"/>
  <c r="AD55" i="97"/>
  <c r="AC55" i="97"/>
  <c r="AB55" i="97"/>
  <c r="AA55" i="97"/>
  <c r="Z55" i="97"/>
  <c r="Y55" i="97"/>
  <c r="X55" i="97"/>
  <c r="W55" i="97"/>
  <c r="V55" i="97"/>
  <c r="U55" i="97"/>
  <c r="T55" i="97"/>
  <c r="S55" i="97"/>
  <c r="R55" i="97"/>
  <c r="Q55" i="97"/>
  <c r="P55" i="97"/>
  <c r="O55" i="97"/>
  <c r="N55" i="97"/>
  <c r="M55" i="97"/>
  <c r="L55" i="97"/>
  <c r="K55" i="97"/>
  <c r="J55" i="97"/>
  <c r="I55" i="97"/>
  <c r="H55" i="97"/>
  <c r="G55" i="97"/>
  <c r="F55" i="97"/>
  <c r="E55" i="97"/>
  <c r="D55" i="97"/>
  <c r="AG54" i="97"/>
  <c r="AF54" i="97"/>
  <c r="AE54" i="97"/>
  <c r="AD54" i="97"/>
  <c r="AC54" i="97"/>
  <c r="N54" i="97"/>
  <c r="AG53" i="97"/>
  <c r="AF53" i="97"/>
  <c r="AE53" i="97"/>
  <c r="AD53" i="97"/>
  <c r="AC53" i="97"/>
  <c r="AG52" i="97"/>
  <c r="AF52" i="97"/>
  <c r="AE52" i="97"/>
  <c r="AD52" i="97"/>
  <c r="AC52" i="97"/>
  <c r="AG51" i="97"/>
  <c r="AF51" i="97"/>
  <c r="AE51" i="97"/>
  <c r="AD51" i="97"/>
  <c r="AC51" i="97"/>
  <c r="AG50" i="97"/>
  <c r="AF50" i="97"/>
  <c r="AE50" i="97"/>
  <c r="AD50" i="97"/>
  <c r="AC50" i="97"/>
  <c r="AB50" i="97"/>
  <c r="AB54" i="97" s="1"/>
  <c r="AA50" i="97"/>
  <c r="AA54" i="97" s="1"/>
  <c r="Z50" i="97"/>
  <c r="Z54" i="97" s="1"/>
  <c r="Y50" i="97"/>
  <c r="Y54" i="97" s="1"/>
  <c r="X50" i="97"/>
  <c r="X54" i="97" s="1"/>
  <c r="W50" i="97"/>
  <c r="W54" i="97" s="1"/>
  <c r="V50" i="97"/>
  <c r="V54" i="97" s="1"/>
  <c r="U50" i="97"/>
  <c r="U54" i="97" s="1"/>
  <c r="T50" i="97"/>
  <c r="T54" i="97" s="1"/>
  <c r="S50" i="97"/>
  <c r="S54" i="97" s="1"/>
  <c r="R50" i="97"/>
  <c r="R54" i="97" s="1"/>
  <c r="Q50" i="97"/>
  <c r="Q54" i="97" s="1"/>
  <c r="P50" i="97"/>
  <c r="P54" i="97" s="1"/>
  <c r="O50" i="97"/>
  <c r="O54" i="97" s="1"/>
  <c r="N50" i="97"/>
  <c r="M50" i="97"/>
  <c r="M54" i="97" s="1"/>
  <c r="L50" i="97"/>
  <c r="L54" i="97" s="1"/>
  <c r="K50" i="97"/>
  <c r="K54" i="97" s="1"/>
  <c r="J50" i="97"/>
  <c r="J54" i="97" s="1"/>
  <c r="I50" i="97"/>
  <c r="I54" i="97" s="1"/>
  <c r="H50" i="97"/>
  <c r="H54" i="97" s="1"/>
  <c r="G50" i="97"/>
  <c r="G54" i="97" s="1"/>
  <c r="F50" i="97"/>
  <c r="F54" i="97" s="1"/>
  <c r="E50" i="97"/>
  <c r="E54" i="97" s="1"/>
  <c r="D50" i="97"/>
  <c r="D54" i="97" s="1"/>
  <c r="AG49" i="97"/>
  <c r="AF49" i="97"/>
  <c r="AE49" i="97"/>
  <c r="AD49" i="97"/>
  <c r="AC49" i="97"/>
  <c r="AG48" i="97"/>
  <c r="AF48" i="97"/>
  <c r="AE48" i="97"/>
  <c r="AD48" i="97"/>
  <c r="AC48" i="97"/>
  <c r="AB48" i="97"/>
  <c r="AB52" i="97" s="1"/>
  <c r="AA48" i="97"/>
  <c r="AA52" i="97" s="1"/>
  <c r="Z48" i="97"/>
  <c r="Y48" i="97"/>
  <c r="Y52" i="97" s="1"/>
  <c r="X48" i="97"/>
  <c r="X52" i="97" s="1"/>
  <c r="W48" i="97"/>
  <c r="W52" i="97" s="1"/>
  <c r="V48" i="97"/>
  <c r="U48" i="97"/>
  <c r="U52" i="97" s="1"/>
  <c r="T48" i="97"/>
  <c r="T52" i="97" s="1"/>
  <c r="S48" i="97"/>
  <c r="S52" i="97" s="1"/>
  <c r="R48" i="97"/>
  <c r="Q48" i="97"/>
  <c r="Q52" i="97" s="1"/>
  <c r="P48" i="97"/>
  <c r="P52" i="97" s="1"/>
  <c r="O48" i="97"/>
  <c r="O52" i="97" s="1"/>
  <c r="N48" i="97"/>
  <c r="N52" i="97" s="1"/>
  <c r="M48" i="97"/>
  <c r="M52" i="97" s="1"/>
  <c r="L48" i="97"/>
  <c r="L52" i="97" s="1"/>
  <c r="K48" i="97"/>
  <c r="K52" i="97" s="1"/>
  <c r="J48" i="97"/>
  <c r="J52" i="97" s="1"/>
  <c r="I48" i="97"/>
  <c r="I52" i="97" s="1"/>
  <c r="H48" i="97"/>
  <c r="H52" i="97" s="1"/>
  <c r="G48" i="97"/>
  <c r="G52" i="97" s="1"/>
  <c r="F48" i="97"/>
  <c r="E48" i="97"/>
  <c r="E52" i="97" s="1"/>
  <c r="D48" i="97"/>
  <c r="D52" i="97" s="1"/>
  <c r="AG47" i="97"/>
  <c r="AF47" i="97"/>
  <c r="AE47" i="97"/>
  <c r="AD47" i="97"/>
  <c r="AC47" i="97"/>
  <c r="C47" i="97"/>
  <c r="AG44" i="97"/>
  <c r="AF44" i="97"/>
  <c r="AE44" i="97"/>
  <c r="AD44" i="97"/>
  <c r="AC44" i="97"/>
  <c r="AG43" i="97"/>
  <c r="AF43" i="97"/>
  <c r="AE43" i="97"/>
  <c r="AD43" i="97"/>
  <c r="AC43" i="97"/>
  <c r="AG42" i="97"/>
  <c r="AF42" i="97"/>
  <c r="AE42" i="97"/>
  <c r="AD42" i="97"/>
  <c r="AC42" i="97"/>
  <c r="AG41" i="97"/>
  <c r="AF41" i="97"/>
  <c r="AE41" i="97"/>
  <c r="AD41" i="97"/>
  <c r="AC41" i="97"/>
  <c r="AG40" i="97"/>
  <c r="AF40" i="97"/>
  <c r="AE40" i="97"/>
  <c r="AD40" i="97"/>
  <c r="AC40" i="97"/>
  <c r="C40" i="97"/>
  <c r="AG39" i="97"/>
  <c r="AF39" i="97"/>
  <c r="AE39" i="97"/>
  <c r="AD39" i="97"/>
  <c r="AC39" i="97"/>
  <c r="AG38" i="97"/>
  <c r="AF38" i="97"/>
  <c r="AE38" i="97"/>
  <c r="AD38" i="97"/>
  <c r="AC38" i="97"/>
  <c r="AB38" i="97"/>
  <c r="AA38" i="97"/>
  <c r="Z38" i="97"/>
  <c r="Y38" i="97"/>
  <c r="X38" i="97"/>
  <c r="W38" i="97"/>
  <c r="V38" i="97"/>
  <c r="U38" i="97"/>
  <c r="T38" i="97"/>
  <c r="S38" i="97"/>
  <c r="R38" i="97"/>
  <c r="Q38" i="97"/>
  <c r="P38" i="97"/>
  <c r="O38" i="97"/>
  <c r="N38" i="97"/>
  <c r="M38" i="97"/>
  <c r="L38" i="97"/>
  <c r="K38" i="97"/>
  <c r="J38" i="97"/>
  <c r="I38" i="97"/>
  <c r="H38" i="97"/>
  <c r="G38" i="97"/>
  <c r="F38" i="97"/>
  <c r="E38" i="97"/>
  <c r="G26" i="97"/>
  <c r="G25" i="97"/>
  <c r="C38" i="97"/>
  <c r="C18" i="97"/>
  <c r="D31" i="97" s="1"/>
  <c r="B57" i="97" s="1"/>
  <c r="C17" i="97"/>
  <c r="D30" i="97" s="1"/>
  <c r="B54" i="97" s="1"/>
  <c r="C16" i="97"/>
  <c r="D29" i="97" s="1"/>
  <c r="C15" i="97"/>
  <c r="D28" i="97" s="1"/>
  <c r="C14" i="97"/>
  <c r="D27" i="97" s="1"/>
  <c r="B49" i="97" s="1"/>
  <c r="C13" i="97"/>
  <c r="D35" i="97" s="1"/>
  <c r="C12" i="97"/>
  <c r="C10" i="97"/>
  <c r="D21" i="97" l="1"/>
  <c r="H22" i="97"/>
  <c r="C41" i="97"/>
  <c r="C43" i="97" s="1"/>
  <c r="C44" i="97" s="1"/>
  <c r="C39" i="97"/>
  <c r="G61" i="97"/>
  <c r="A71" i="97"/>
  <c r="B71" i="97" s="1"/>
  <c r="B51" i="97"/>
  <c r="B50" i="97"/>
  <c r="B52" i="97"/>
  <c r="B53" i="97"/>
  <c r="D32" i="97"/>
  <c r="B58" i="97" s="1"/>
  <c r="AA65" i="97"/>
  <c r="S65" i="97"/>
  <c r="K65" i="97"/>
  <c r="V61" i="97"/>
  <c r="N61" i="97"/>
  <c r="F61" i="97"/>
  <c r="Z65" i="97"/>
  <c r="R65" i="97"/>
  <c r="J65" i="97"/>
  <c r="U61" i="97"/>
  <c r="M61" i="97"/>
  <c r="E61" i="97"/>
  <c r="Y65" i="97"/>
  <c r="Q65" i="97"/>
  <c r="I65" i="97"/>
  <c r="AB61" i="97"/>
  <c r="T61" i="97"/>
  <c r="L61" i="97"/>
  <c r="D61" i="97"/>
  <c r="X65" i="97"/>
  <c r="P65" i="97"/>
  <c r="H65" i="97"/>
  <c r="AA61" i="97"/>
  <c r="S61" i="97"/>
  <c r="K61" i="97"/>
  <c r="W65" i="97"/>
  <c r="O65" i="97"/>
  <c r="G65" i="97"/>
  <c r="Z61" i="97"/>
  <c r="R61" i="97"/>
  <c r="J61" i="97"/>
  <c r="V65" i="97"/>
  <c r="N65" i="97"/>
  <c r="F65" i="97"/>
  <c r="Y61" i="97"/>
  <c r="Q61" i="97"/>
  <c r="I61" i="97"/>
  <c r="T65" i="97"/>
  <c r="D65" i="97"/>
  <c r="U65" i="97"/>
  <c r="M65" i="97"/>
  <c r="E65" i="97"/>
  <c r="X61" i="97"/>
  <c r="P61" i="97"/>
  <c r="H61" i="97"/>
  <c r="AB65" i="97"/>
  <c r="L65" i="97"/>
  <c r="O61" i="97"/>
  <c r="A70" i="97"/>
  <c r="B70" i="97" s="1"/>
  <c r="B48" i="97"/>
  <c r="R52" i="97"/>
  <c r="W61" i="97"/>
  <c r="V52" i="97"/>
  <c r="F70" i="97"/>
  <c r="E49" i="97"/>
  <c r="F52" i="97"/>
  <c r="A72" i="97"/>
  <c r="B72" i="97" s="1"/>
  <c r="B55" i="97"/>
  <c r="B56" i="97"/>
  <c r="Z52" i="97"/>
  <c r="D49" i="97"/>
  <c r="C12" i="78"/>
  <c r="C42" i="97" l="1"/>
  <c r="G70" i="97"/>
  <c r="F49" i="97"/>
  <c r="H70" i="97" l="1"/>
  <c r="G49" i="97"/>
  <c r="I70" i="97" l="1"/>
  <c r="H49" i="97"/>
  <c r="J70" i="97" l="1"/>
  <c r="I49" i="97"/>
  <c r="C21" i="83"/>
  <c r="C5" i="94" s="1"/>
  <c r="K70" i="97" l="1"/>
  <c r="J49" i="97"/>
  <c r="G26" i="78"/>
  <c r="O11" i="94" s="1"/>
  <c r="G25" i="78"/>
  <c r="O9" i="94" s="1"/>
  <c r="X38" i="78"/>
  <c r="Y38" i="78"/>
  <c r="Z38" i="78"/>
  <c r="AA38" i="78"/>
  <c r="AB38" i="78"/>
  <c r="AC38" i="78"/>
  <c r="AD38" i="78"/>
  <c r="AE38" i="78"/>
  <c r="AF38" i="78"/>
  <c r="AG38" i="78"/>
  <c r="AC39" i="78"/>
  <c r="AD39" i="78"/>
  <c r="AE39" i="78"/>
  <c r="AF39" i="78"/>
  <c r="AG39" i="78"/>
  <c r="AC40" i="78"/>
  <c r="AD40" i="78"/>
  <c r="AE40" i="78"/>
  <c r="AF40" i="78"/>
  <c r="AG40" i="78"/>
  <c r="AC41" i="78"/>
  <c r="AD41" i="78"/>
  <c r="AE41" i="78"/>
  <c r="AF41" i="78"/>
  <c r="AG41" i="78"/>
  <c r="AC42" i="78"/>
  <c r="AD42" i="78"/>
  <c r="AE42" i="78"/>
  <c r="AF42" i="78"/>
  <c r="AG42" i="78"/>
  <c r="AC43" i="78"/>
  <c r="AD43" i="78"/>
  <c r="AE43" i="78"/>
  <c r="AF43" i="78"/>
  <c r="AG43" i="78"/>
  <c r="AC44" i="78"/>
  <c r="AD44" i="78"/>
  <c r="AE44" i="78"/>
  <c r="AF44" i="78"/>
  <c r="AG44" i="78"/>
  <c r="AC47" i="78"/>
  <c r="AD47" i="78"/>
  <c r="AE47" i="78"/>
  <c r="AF47" i="78"/>
  <c r="AG47" i="78"/>
  <c r="X48" i="78"/>
  <c r="X52" i="78" s="1"/>
  <c r="Y48" i="78"/>
  <c r="Z48" i="78"/>
  <c r="AA48" i="78"/>
  <c r="AA52" i="78" s="1"/>
  <c r="AB48" i="78"/>
  <c r="AB52" i="78" s="1"/>
  <c r="AC48" i="78"/>
  <c r="AD48" i="78"/>
  <c r="AE48" i="78"/>
  <c r="AF48" i="78"/>
  <c r="AG48" i="78"/>
  <c r="AC49" i="78"/>
  <c r="AD49" i="78"/>
  <c r="AE49" i="78"/>
  <c r="AF49" i="78"/>
  <c r="AG49" i="78"/>
  <c r="X50" i="78"/>
  <c r="X54" i="78" s="1"/>
  <c r="Y50" i="78"/>
  <c r="Y54" i="78" s="1"/>
  <c r="Z50" i="78"/>
  <c r="AA50" i="78"/>
  <c r="AB50" i="78"/>
  <c r="AC50" i="78"/>
  <c r="AD50" i="78"/>
  <c r="AE50" i="78"/>
  <c r="AF50" i="78"/>
  <c r="AG50" i="78"/>
  <c r="AC51" i="78"/>
  <c r="AD51" i="78"/>
  <c r="AE51" i="78"/>
  <c r="AF51" i="78"/>
  <c r="AG51" i="78"/>
  <c r="Y52" i="78"/>
  <c r="Z52" i="78"/>
  <c r="AC52" i="78"/>
  <c r="AD52" i="78"/>
  <c r="AE52" i="78"/>
  <c r="AF52" i="78"/>
  <c r="AG52" i="78"/>
  <c r="AC53" i="78"/>
  <c r="AD53" i="78"/>
  <c r="AE53" i="78"/>
  <c r="AF53" i="78"/>
  <c r="AG53" i="78"/>
  <c r="Z54" i="78"/>
  <c r="AA54" i="78"/>
  <c r="AB54" i="78"/>
  <c r="AC54" i="78"/>
  <c r="AD54" i="78"/>
  <c r="AE54" i="78"/>
  <c r="AF54" i="78"/>
  <c r="AG54" i="78"/>
  <c r="X55" i="78"/>
  <c r="Y55" i="78"/>
  <c r="Z55" i="78"/>
  <c r="AA55" i="78"/>
  <c r="AB55" i="78"/>
  <c r="AC55" i="78"/>
  <c r="AD55" i="78"/>
  <c r="AE55" i="78"/>
  <c r="AF55" i="78"/>
  <c r="AG55" i="78"/>
  <c r="X56" i="78"/>
  <c r="Y56" i="78"/>
  <c r="Z56" i="78"/>
  <c r="AA56" i="78"/>
  <c r="AB56" i="78"/>
  <c r="AC56" i="78"/>
  <c r="AD56" i="78"/>
  <c r="AE56" i="78"/>
  <c r="AF56" i="78"/>
  <c r="AG56" i="78"/>
  <c r="X57" i="78"/>
  <c r="Y57" i="78"/>
  <c r="Z57" i="78"/>
  <c r="AA57" i="78"/>
  <c r="AB57" i="78"/>
  <c r="AC57" i="78"/>
  <c r="AD57" i="78"/>
  <c r="AE57" i="78"/>
  <c r="AF57" i="78"/>
  <c r="AG57" i="78"/>
  <c r="X58" i="78"/>
  <c r="Y58" i="78"/>
  <c r="Z58" i="78"/>
  <c r="AA58" i="78"/>
  <c r="AB58" i="78"/>
  <c r="AC58" i="78"/>
  <c r="AD58" i="78"/>
  <c r="AE58" i="78"/>
  <c r="AF58" i="78"/>
  <c r="AG58" i="78"/>
  <c r="AC60" i="78"/>
  <c r="AD60" i="78"/>
  <c r="AE60" i="78"/>
  <c r="AF60" i="78"/>
  <c r="AG60" i="78"/>
  <c r="AC61" i="78"/>
  <c r="AD61" i="78"/>
  <c r="AE61" i="78"/>
  <c r="AF61" i="78"/>
  <c r="AG61" i="78"/>
  <c r="AC62" i="78"/>
  <c r="AD62" i="78"/>
  <c r="AE62" i="78"/>
  <c r="AF62" i="78"/>
  <c r="AG62" i="78"/>
  <c r="AC63" i="78"/>
  <c r="AD63" i="78"/>
  <c r="AE63" i="78"/>
  <c r="AF63" i="78"/>
  <c r="AG63" i="78"/>
  <c r="AC64" i="78"/>
  <c r="AD64" i="78"/>
  <c r="AE64" i="78"/>
  <c r="AF64" i="78"/>
  <c r="AG64" i="78"/>
  <c r="AC65" i="78"/>
  <c r="AD65" i="78"/>
  <c r="AE65" i="78"/>
  <c r="AF65" i="78"/>
  <c r="AG65" i="78"/>
  <c r="AC66" i="78"/>
  <c r="AD66" i="78"/>
  <c r="AE66" i="78"/>
  <c r="AF66" i="78"/>
  <c r="AG66" i="78"/>
  <c r="AC70" i="78"/>
  <c r="AD70" i="78"/>
  <c r="AE70" i="78"/>
  <c r="AF70" i="78"/>
  <c r="AG70" i="78"/>
  <c r="AC71" i="78"/>
  <c r="AD71" i="78"/>
  <c r="AE71" i="78"/>
  <c r="AF71" i="78"/>
  <c r="AG71" i="78"/>
  <c r="AC72" i="78"/>
  <c r="AD72" i="78"/>
  <c r="AE72" i="78"/>
  <c r="AF72" i="78"/>
  <c r="AG72" i="78"/>
  <c r="C70" i="78"/>
  <c r="D70" i="78" s="1"/>
  <c r="M16" i="11"/>
  <c r="K43" i="11"/>
  <c r="M15" i="11" s="1"/>
  <c r="M10" i="11"/>
  <c r="M11" i="11"/>
  <c r="M12" i="11"/>
  <c r="M13" i="11"/>
  <c r="M14" i="11"/>
  <c r="M9" i="11"/>
  <c r="K42" i="11"/>
  <c r="K41" i="11"/>
  <c r="K40" i="11"/>
  <c r="K39" i="11"/>
  <c r="K38" i="11"/>
  <c r="K37" i="11"/>
  <c r="L70" i="97" l="1"/>
  <c r="K49" i="97"/>
  <c r="K33" i="11"/>
  <c r="K34" i="11"/>
  <c r="K35" i="11"/>
  <c r="K36" i="11"/>
  <c r="K32" i="11"/>
  <c r="K21" i="11"/>
  <c r="K22" i="11"/>
  <c r="K23" i="11"/>
  <c r="K24" i="11"/>
  <c r="K25" i="11"/>
  <c r="K26" i="11"/>
  <c r="K27" i="11"/>
  <c r="K28" i="11"/>
  <c r="K29" i="11"/>
  <c r="K30" i="11"/>
  <c r="K31" i="11"/>
  <c r="K20" i="11"/>
  <c r="D49" i="78"/>
  <c r="M70" i="97" l="1"/>
  <c r="L49" i="97"/>
  <c r="N70" i="97" l="1"/>
  <c r="M49" i="97"/>
  <c r="O70" i="97" l="1"/>
  <c r="N49" i="97"/>
  <c r="P70" i="97" l="1"/>
  <c r="O49" i="97"/>
  <c r="Q70" i="97" l="1"/>
  <c r="P49" i="97"/>
  <c r="O17" i="12"/>
  <c r="R70" i="97" l="1"/>
  <c r="Q49" i="97"/>
  <c r="S70" i="97" l="1"/>
  <c r="R49" i="97"/>
  <c r="T70" i="97" l="1"/>
  <c r="S49" i="97"/>
  <c r="M17" i="11"/>
  <c r="O17" i="13"/>
  <c r="U70" i="97" l="1"/>
  <c r="T49" i="97"/>
  <c r="V70" i="97" l="1"/>
  <c r="U49" i="97"/>
  <c r="W70" i="97" l="1"/>
  <c r="V49" i="97"/>
  <c r="AJ36" i="18"/>
  <c r="X70" i="97" l="1"/>
  <c r="W49" i="97"/>
  <c r="Y70" i="97" l="1"/>
  <c r="X49" i="97"/>
  <c r="Z70" i="97" l="1"/>
  <c r="Y49" i="97"/>
  <c r="AA70" i="97" l="1"/>
  <c r="Z49" i="97"/>
  <c r="AB70" i="97" l="1"/>
  <c r="AB49" i="97" s="1"/>
  <c r="AA49" i="97"/>
  <c r="W58" i="82" l="1"/>
  <c r="V58" i="82"/>
  <c r="U58" i="82"/>
  <c r="T58" i="82"/>
  <c r="S58" i="82"/>
  <c r="R58" i="82"/>
  <c r="Q58" i="82"/>
  <c r="P58" i="82"/>
  <c r="O58" i="82"/>
  <c r="N58" i="82"/>
  <c r="M58" i="82"/>
  <c r="L58" i="82"/>
  <c r="K58" i="82"/>
  <c r="J58" i="82"/>
  <c r="I58" i="82"/>
  <c r="H58" i="82"/>
  <c r="G58" i="82"/>
  <c r="F58" i="82"/>
  <c r="E58" i="82"/>
  <c r="C18" i="82"/>
  <c r="C17" i="82"/>
  <c r="C16" i="82"/>
  <c r="C15" i="82"/>
  <c r="C14" i="82"/>
  <c r="C13" i="82"/>
  <c r="W58" i="78"/>
  <c r="V58" i="78"/>
  <c r="U58" i="78"/>
  <c r="T58" i="78"/>
  <c r="S58" i="78"/>
  <c r="R58" i="78"/>
  <c r="Q58" i="78"/>
  <c r="P58" i="78"/>
  <c r="O58" i="78"/>
  <c r="N58" i="78"/>
  <c r="M58" i="78"/>
  <c r="L58" i="78"/>
  <c r="K58" i="78"/>
  <c r="J58" i="78"/>
  <c r="I58" i="78"/>
  <c r="H58" i="78"/>
  <c r="G58" i="78"/>
  <c r="F58" i="78"/>
  <c r="E58" i="78"/>
  <c r="C18" i="78"/>
  <c r="C17" i="78"/>
  <c r="C16" i="78"/>
  <c r="C15" i="78"/>
  <c r="C14" i="78"/>
  <c r="C13" i="78"/>
  <c r="W72" i="83"/>
  <c r="V72" i="83"/>
  <c r="U72" i="83"/>
  <c r="T72" i="83"/>
  <c r="S72" i="83"/>
  <c r="R72" i="83"/>
  <c r="Q72" i="83"/>
  <c r="P72" i="83"/>
  <c r="O72" i="83"/>
  <c r="N72" i="83"/>
  <c r="M72" i="83"/>
  <c r="L72" i="83"/>
  <c r="K72" i="83"/>
  <c r="J72" i="83"/>
  <c r="I72" i="83"/>
  <c r="W71" i="83"/>
  <c r="V71" i="83"/>
  <c r="U71" i="83"/>
  <c r="T71" i="83"/>
  <c r="S71" i="83"/>
  <c r="R71" i="83"/>
  <c r="Q71" i="83"/>
  <c r="P71" i="83"/>
  <c r="O71" i="83"/>
  <c r="N71" i="83"/>
  <c r="M71" i="83"/>
  <c r="L71" i="83"/>
  <c r="K71" i="83"/>
  <c r="J71" i="83"/>
  <c r="I71" i="83"/>
  <c r="W70" i="83"/>
  <c r="V70" i="83"/>
  <c r="U70" i="83"/>
  <c r="T70" i="83"/>
  <c r="S70" i="83"/>
  <c r="R70" i="83"/>
  <c r="Q70" i="83"/>
  <c r="P70" i="83"/>
  <c r="O70" i="83"/>
  <c r="N70" i="83"/>
  <c r="M70" i="83"/>
  <c r="L70" i="83"/>
  <c r="K70" i="83"/>
  <c r="J70" i="83"/>
  <c r="I70" i="83"/>
  <c r="W58" i="83"/>
  <c r="V58" i="83"/>
  <c r="U58" i="83"/>
  <c r="T58" i="83"/>
  <c r="S58" i="83"/>
  <c r="R58" i="83"/>
  <c r="Q58" i="83"/>
  <c r="P58" i="83"/>
  <c r="O58" i="83"/>
  <c r="N58" i="83"/>
  <c r="M58" i="83"/>
  <c r="L58" i="83"/>
  <c r="K58" i="83"/>
  <c r="J58" i="83"/>
  <c r="I58" i="83"/>
  <c r="H58" i="83"/>
  <c r="G58" i="83"/>
  <c r="F58" i="83"/>
  <c r="E58" i="83"/>
  <c r="C18" i="83"/>
  <c r="C17" i="83"/>
  <c r="C16" i="83"/>
  <c r="C15" i="83"/>
  <c r="C14" i="83"/>
  <c r="C13" i="83"/>
  <c r="AZ6" i="18" l="1"/>
  <c r="AZ7" i="18"/>
  <c r="AZ8" i="18"/>
  <c r="AZ9" i="18"/>
  <c r="AZ10" i="18"/>
  <c r="AZ11" i="18"/>
  <c r="AZ12" i="18"/>
  <c r="AZ13" i="18"/>
  <c r="AZ14" i="18"/>
  <c r="AZ15" i="18"/>
  <c r="AZ16" i="18"/>
  <c r="AZ17" i="18"/>
  <c r="AZ18" i="18"/>
  <c r="AZ19" i="18"/>
  <c r="AZ20" i="18"/>
  <c r="AZ21" i="18"/>
  <c r="AZ5" i="18"/>
  <c r="B23" i="18"/>
  <c r="B20" i="18"/>
  <c r="G26" i="83" l="1"/>
  <c r="F11" i="94" s="1"/>
  <c r="B1" i="11" l="1"/>
  <c r="E19" i="11" s="1"/>
  <c r="G1" i="11"/>
  <c r="K1" i="11"/>
  <c r="AS4" i="18"/>
  <c r="C12" i="83"/>
  <c r="C10" i="83"/>
  <c r="G57" i="83"/>
  <c r="F55" i="83"/>
  <c r="W66" i="83"/>
  <c r="V66" i="83"/>
  <c r="U66" i="83"/>
  <c r="T66" i="83"/>
  <c r="S66" i="83"/>
  <c r="R66" i="83"/>
  <c r="Q66" i="83"/>
  <c r="P66" i="83"/>
  <c r="O66" i="83"/>
  <c r="N66" i="83"/>
  <c r="M66" i="83"/>
  <c r="L66" i="83"/>
  <c r="K66" i="83"/>
  <c r="J66" i="83"/>
  <c r="W65" i="83"/>
  <c r="V65" i="83"/>
  <c r="U65" i="83"/>
  <c r="T65" i="83"/>
  <c r="S65" i="83"/>
  <c r="R65" i="83"/>
  <c r="Q65" i="83"/>
  <c r="P65" i="83"/>
  <c r="O65" i="83"/>
  <c r="N65" i="83"/>
  <c r="M65" i="83"/>
  <c r="L65" i="83"/>
  <c r="K65" i="83"/>
  <c r="J65" i="83"/>
  <c r="I65" i="83"/>
  <c r="W64" i="83"/>
  <c r="V64" i="83"/>
  <c r="U64" i="83"/>
  <c r="T64" i="83"/>
  <c r="S64" i="83"/>
  <c r="R64" i="83"/>
  <c r="Q64" i="83"/>
  <c r="P64" i="83"/>
  <c r="O64" i="83"/>
  <c r="N64" i="83"/>
  <c r="M64" i="83"/>
  <c r="L64" i="83"/>
  <c r="K64" i="83"/>
  <c r="J64" i="83"/>
  <c r="W63" i="83"/>
  <c r="V63" i="83"/>
  <c r="U63" i="83"/>
  <c r="T63" i="83"/>
  <c r="S63" i="83"/>
  <c r="R63" i="83"/>
  <c r="Q63" i="83"/>
  <c r="P63" i="83"/>
  <c r="O63" i="83"/>
  <c r="N63" i="83"/>
  <c r="M63" i="83"/>
  <c r="L63" i="83"/>
  <c r="K63" i="83"/>
  <c r="J63" i="83"/>
  <c r="C63" i="83"/>
  <c r="C40" i="83" s="1"/>
  <c r="W62" i="83"/>
  <c r="V62" i="83"/>
  <c r="U62" i="83"/>
  <c r="T62" i="83"/>
  <c r="S62" i="83"/>
  <c r="R62" i="83"/>
  <c r="Q62" i="83"/>
  <c r="P62" i="83"/>
  <c r="O62" i="83"/>
  <c r="N62" i="83"/>
  <c r="M62" i="83"/>
  <c r="L62" i="83"/>
  <c r="K62" i="83"/>
  <c r="J62" i="83"/>
  <c r="W61" i="83"/>
  <c r="V61" i="83"/>
  <c r="U61" i="83"/>
  <c r="T61" i="83"/>
  <c r="S61" i="83"/>
  <c r="R61" i="83"/>
  <c r="Q61" i="83"/>
  <c r="P61" i="83"/>
  <c r="O61" i="83"/>
  <c r="N61" i="83"/>
  <c r="M61" i="83"/>
  <c r="L61" i="83"/>
  <c r="K61" i="83"/>
  <c r="J61" i="83"/>
  <c r="I61" i="83"/>
  <c r="W60" i="83"/>
  <c r="V60" i="83"/>
  <c r="U60" i="83"/>
  <c r="T60" i="83"/>
  <c r="S60" i="83"/>
  <c r="R60" i="83"/>
  <c r="Q60" i="83"/>
  <c r="P60" i="83"/>
  <c r="O60" i="83"/>
  <c r="N60" i="83"/>
  <c r="M60" i="83"/>
  <c r="L60" i="83"/>
  <c r="K60" i="83"/>
  <c r="J60" i="83"/>
  <c r="D58" i="83"/>
  <c r="W57" i="83"/>
  <c r="V57" i="83"/>
  <c r="U57" i="83"/>
  <c r="T57" i="83"/>
  <c r="S57" i="83"/>
  <c r="R57" i="83"/>
  <c r="Q57" i="83"/>
  <c r="P57" i="83"/>
  <c r="O57" i="83"/>
  <c r="N57" i="83"/>
  <c r="M57" i="83"/>
  <c r="L57" i="83"/>
  <c r="K57" i="83"/>
  <c r="J57" i="83"/>
  <c r="I57" i="83"/>
  <c r="H57" i="83"/>
  <c r="F57" i="83"/>
  <c r="E57" i="83"/>
  <c r="D57" i="83"/>
  <c r="W56" i="83"/>
  <c r="V56" i="83"/>
  <c r="U56" i="83"/>
  <c r="T56" i="83"/>
  <c r="S56" i="83"/>
  <c r="R56" i="83"/>
  <c r="Q56" i="83"/>
  <c r="P56" i="83"/>
  <c r="O56" i="83"/>
  <c r="N56" i="83"/>
  <c r="M56" i="83"/>
  <c r="L56" i="83"/>
  <c r="K56" i="83"/>
  <c r="J56" i="83"/>
  <c r="I56" i="83"/>
  <c r="H56" i="83"/>
  <c r="G56" i="83"/>
  <c r="F56" i="83"/>
  <c r="E56" i="83"/>
  <c r="D56" i="83"/>
  <c r="W55" i="83"/>
  <c r="V55" i="83"/>
  <c r="U55" i="83"/>
  <c r="T55" i="83"/>
  <c r="S55" i="83"/>
  <c r="R55" i="83"/>
  <c r="Q55" i="83"/>
  <c r="P55" i="83"/>
  <c r="O55" i="83"/>
  <c r="N55" i="83"/>
  <c r="M55" i="83"/>
  <c r="L55" i="83"/>
  <c r="K55" i="83"/>
  <c r="J55" i="83"/>
  <c r="I55" i="83"/>
  <c r="H55" i="83"/>
  <c r="G55" i="83"/>
  <c r="E55" i="83"/>
  <c r="D55" i="83"/>
  <c r="W54" i="83"/>
  <c r="V54" i="83"/>
  <c r="U54" i="83"/>
  <c r="T54" i="83"/>
  <c r="S54" i="83"/>
  <c r="R54" i="83"/>
  <c r="Q54" i="83"/>
  <c r="P54" i="83"/>
  <c r="O54" i="83"/>
  <c r="N54" i="83"/>
  <c r="M54" i="83"/>
  <c r="L54" i="83"/>
  <c r="K54" i="83"/>
  <c r="J54" i="83"/>
  <c r="W53" i="83"/>
  <c r="V53" i="83"/>
  <c r="U53" i="83"/>
  <c r="T53" i="83"/>
  <c r="S53" i="83"/>
  <c r="R53" i="83"/>
  <c r="Q53" i="83"/>
  <c r="P53" i="83"/>
  <c r="O53" i="83"/>
  <c r="N53" i="83"/>
  <c r="M53" i="83"/>
  <c r="L53" i="83"/>
  <c r="K53" i="83"/>
  <c r="J53" i="83"/>
  <c r="W52" i="83"/>
  <c r="V52" i="83"/>
  <c r="U52" i="83"/>
  <c r="T52" i="83"/>
  <c r="S52" i="83"/>
  <c r="R52" i="83"/>
  <c r="Q52" i="83"/>
  <c r="P52" i="83"/>
  <c r="O52" i="83"/>
  <c r="N52" i="83"/>
  <c r="M52" i="83"/>
  <c r="L52" i="83"/>
  <c r="K52" i="83"/>
  <c r="J52" i="83"/>
  <c r="I52" i="83"/>
  <c r="W51" i="83"/>
  <c r="V51" i="83"/>
  <c r="U51" i="83"/>
  <c r="T51" i="83"/>
  <c r="S51" i="83"/>
  <c r="R51" i="83"/>
  <c r="Q51" i="83"/>
  <c r="P51" i="83"/>
  <c r="O51" i="83"/>
  <c r="N51" i="83"/>
  <c r="M51" i="83"/>
  <c r="L51" i="83"/>
  <c r="K51" i="83"/>
  <c r="J51" i="83"/>
  <c r="W50" i="83"/>
  <c r="V50" i="83"/>
  <c r="U50" i="83"/>
  <c r="T50" i="83"/>
  <c r="S50" i="83"/>
  <c r="R50" i="83"/>
  <c r="Q50" i="83"/>
  <c r="P50" i="83"/>
  <c r="O50" i="83"/>
  <c r="N50" i="83"/>
  <c r="M50" i="83"/>
  <c r="L50" i="83"/>
  <c r="K50" i="83"/>
  <c r="J50" i="83"/>
  <c r="I50" i="83"/>
  <c r="I54" i="83" s="1"/>
  <c r="H50" i="83"/>
  <c r="H54" i="83" s="1"/>
  <c r="G50" i="83"/>
  <c r="G54" i="83" s="1"/>
  <c r="F50" i="83"/>
  <c r="F54" i="83" s="1"/>
  <c r="E50" i="83"/>
  <c r="E54" i="83" s="1"/>
  <c r="D50" i="83"/>
  <c r="D54" i="83" s="1"/>
  <c r="W49" i="83"/>
  <c r="V49" i="83"/>
  <c r="U49" i="83"/>
  <c r="T49" i="83"/>
  <c r="S49" i="83"/>
  <c r="R49" i="83"/>
  <c r="Q49" i="83"/>
  <c r="P49" i="83"/>
  <c r="O49" i="83"/>
  <c r="N49" i="83"/>
  <c r="M49" i="83"/>
  <c r="L49" i="83"/>
  <c r="K49" i="83"/>
  <c r="J49" i="83"/>
  <c r="W48" i="83"/>
  <c r="V48" i="83"/>
  <c r="U48" i="83"/>
  <c r="T48" i="83"/>
  <c r="S48" i="83"/>
  <c r="R48" i="83"/>
  <c r="Q48" i="83"/>
  <c r="P48" i="83"/>
  <c r="O48" i="83"/>
  <c r="N48" i="83"/>
  <c r="M48" i="83"/>
  <c r="L48" i="83"/>
  <c r="K48" i="83"/>
  <c r="J48" i="83"/>
  <c r="I48" i="83"/>
  <c r="H48" i="83"/>
  <c r="G48" i="83"/>
  <c r="G52" i="83" s="1"/>
  <c r="F48" i="83"/>
  <c r="F52" i="83" s="1"/>
  <c r="E48" i="83"/>
  <c r="E52" i="83" s="1"/>
  <c r="W47" i="83"/>
  <c r="V47" i="83"/>
  <c r="U47" i="83"/>
  <c r="T47" i="83"/>
  <c r="S47" i="83"/>
  <c r="R47" i="83"/>
  <c r="Q47" i="83"/>
  <c r="P47" i="83"/>
  <c r="O47" i="83"/>
  <c r="N47" i="83"/>
  <c r="M47" i="83"/>
  <c r="L47" i="83"/>
  <c r="K47" i="83"/>
  <c r="J47" i="83"/>
  <c r="C47" i="83"/>
  <c r="C60" i="83" s="1"/>
  <c r="W44" i="83"/>
  <c r="V44" i="83"/>
  <c r="U44" i="83"/>
  <c r="T44" i="83"/>
  <c r="S44" i="83"/>
  <c r="R44" i="83"/>
  <c r="Q44" i="83"/>
  <c r="P44" i="83"/>
  <c r="O44" i="83"/>
  <c r="N44" i="83"/>
  <c r="M44" i="83"/>
  <c r="L44" i="83"/>
  <c r="K44" i="83"/>
  <c r="J44" i="83"/>
  <c r="W43" i="83"/>
  <c r="V43" i="83"/>
  <c r="U43" i="83"/>
  <c r="T43" i="83"/>
  <c r="S43" i="83"/>
  <c r="R43" i="83"/>
  <c r="Q43" i="83"/>
  <c r="P43" i="83"/>
  <c r="O43" i="83"/>
  <c r="N43" i="83"/>
  <c r="M43" i="83"/>
  <c r="L43" i="83"/>
  <c r="K43" i="83"/>
  <c r="J43" i="83"/>
  <c r="W42" i="83"/>
  <c r="V42" i="83"/>
  <c r="U42" i="83"/>
  <c r="T42" i="83"/>
  <c r="S42" i="83"/>
  <c r="R42" i="83"/>
  <c r="Q42" i="83"/>
  <c r="P42" i="83"/>
  <c r="O42" i="83"/>
  <c r="N42" i="83"/>
  <c r="M42" i="83"/>
  <c r="L42" i="83"/>
  <c r="K42" i="83"/>
  <c r="J42" i="83"/>
  <c r="W41" i="83"/>
  <c r="V41" i="83"/>
  <c r="U41" i="83"/>
  <c r="T41" i="83"/>
  <c r="S41" i="83"/>
  <c r="R41" i="83"/>
  <c r="Q41" i="83"/>
  <c r="P41" i="83"/>
  <c r="O41" i="83"/>
  <c r="N41" i="83"/>
  <c r="M41" i="83"/>
  <c r="L41" i="83"/>
  <c r="K41" i="83"/>
  <c r="J41" i="83"/>
  <c r="W40" i="83"/>
  <c r="V40" i="83"/>
  <c r="U40" i="83"/>
  <c r="T40" i="83"/>
  <c r="S40" i="83"/>
  <c r="R40" i="83"/>
  <c r="Q40" i="83"/>
  <c r="P40" i="83"/>
  <c r="O40" i="83"/>
  <c r="N40" i="83"/>
  <c r="M40" i="83"/>
  <c r="L40" i="83"/>
  <c r="K40" i="83"/>
  <c r="J40" i="83"/>
  <c r="W39" i="83"/>
  <c r="V39" i="83"/>
  <c r="U39" i="83"/>
  <c r="T39" i="83"/>
  <c r="S39" i="83"/>
  <c r="R39" i="83"/>
  <c r="Q39" i="83"/>
  <c r="P39" i="83"/>
  <c r="O39" i="83"/>
  <c r="N39" i="83"/>
  <c r="M39" i="83"/>
  <c r="L39" i="83"/>
  <c r="K39" i="83"/>
  <c r="J39" i="83"/>
  <c r="W38" i="83"/>
  <c r="V38" i="83"/>
  <c r="U38" i="83"/>
  <c r="T38" i="83"/>
  <c r="S38" i="83"/>
  <c r="R38" i="83"/>
  <c r="Q38" i="83"/>
  <c r="P38" i="83"/>
  <c r="O38" i="83"/>
  <c r="N38" i="83"/>
  <c r="M38" i="83"/>
  <c r="L38" i="83"/>
  <c r="K38" i="83"/>
  <c r="J38" i="83"/>
  <c r="I38" i="83"/>
  <c r="H38" i="83"/>
  <c r="G38" i="83"/>
  <c r="F38" i="83"/>
  <c r="E38" i="83"/>
  <c r="D48" i="83"/>
  <c r="D31" i="83"/>
  <c r="D30" i="83"/>
  <c r="B54" i="83" s="1"/>
  <c r="D29" i="83"/>
  <c r="B53" i="83" s="1"/>
  <c r="D28" i="83"/>
  <c r="D27" i="83"/>
  <c r="D21" i="83"/>
  <c r="C12" i="82"/>
  <c r="C10" i="82"/>
  <c r="W66" i="82"/>
  <c r="V66" i="82"/>
  <c r="U66" i="82"/>
  <c r="T66" i="82"/>
  <c r="S66" i="82"/>
  <c r="R66" i="82"/>
  <c r="Q66" i="82"/>
  <c r="P66" i="82"/>
  <c r="O66" i="82"/>
  <c r="N66" i="82"/>
  <c r="W65" i="82"/>
  <c r="V65" i="82"/>
  <c r="U65" i="82"/>
  <c r="T65" i="82"/>
  <c r="S65" i="82"/>
  <c r="R65" i="82"/>
  <c r="Q65" i="82"/>
  <c r="P65" i="82"/>
  <c r="O65" i="82"/>
  <c r="N65" i="82"/>
  <c r="M65" i="82"/>
  <c r="L65" i="82"/>
  <c r="K65" i="82"/>
  <c r="J65" i="82"/>
  <c r="I65" i="82"/>
  <c r="W64" i="82"/>
  <c r="V64" i="82"/>
  <c r="U64" i="82"/>
  <c r="T64" i="82"/>
  <c r="S64" i="82"/>
  <c r="R64" i="82"/>
  <c r="Q64" i="82"/>
  <c r="P64" i="82"/>
  <c r="O64" i="82"/>
  <c r="N64" i="82"/>
  <c r="W63" i="82"/>
  <c r="V63" i="82"/>
  <c r="U63" i="82"/>
  <c r="T63" i="82"/>
  <c r="S63" i="82"/>
  <c r="R63" i="82"/>
  <c r="Q63" i="82"/>
  <c r="P63" i="82"/>
  <c r="O63" i="82"/>
  <c r="N63" i="82"/>
  <c r="C63" i="82"/>
  <c r="C40" i="82" s="1"/>
  <c r="W62" i="82"/>
  <c r="V62" i="82"/>
  <c r="U62" i="82"/>
  <c r="T62" i="82"/>
  <c r="S62" i="82"/>
  <c r="R62" i="82"/>
  <c r="Q62" i="82"/>
  <c r="P62" i="82"/>
  <c r="O62" i="82"/>
  <c r="N62" i="82"/>
  <c r="W61" i="82"/>
  <c r="V61" i="82"/>
  <c r="U61" i="82"/>
  <c r="T61" i="82"/>
  <c r="S61" i="82"/>
  <c r="R61" i="82"/>
  <c r="Q61" i="82"/>
  <c r="P61" i="82"/>
  <c r="O61" i="82"/>
  <c r="N61" i="82"/>
  <c r="M61" i="82"/>
  <c r="L61" i="82"/>
  <c r="K61" i="82"/>
  <c r="J61" i="82"/>
  <c r="I61" i="82"/>
  <c r="W60" i="82"/>
  <c r="V60" i="82"/>
  <c r="U60" i="82"/>
  <c r="T60" i="82"/>
  <c r="S60" i="82"/>
  <c r="R60" i="82"/>
  <c r="Q60" i="82"/>
  <c r="P60" i="82"/>
  <c r="O60" i="82"/>
  <c r="N60" i="82"/>
  <c r="D58" i="82"/>
  <c r="W57" i="82"/>
  <c r="V57" i="82"/>
  <c r="U57" i="82"/>
  <c r="T57" i="82"/>
  <c r="S57" i="82"/>
  <c r="R57" i="82"/>
  <c r="Q57" i="82"/>
  <c r="P57" i="82"/>
  <c r="O57" i="82"/>
  <c r="N57" i="82"/>
  <c r="M57" i="82"/>
  <c r="L57" i="82"/>
  <c r="K57" i="82"/>
  <c r="J57" i="82"/>
  <c r="I57" i="82"/>
  <c r="H57" i="82"/>
  <c r="G57" i="82"/>
  <c r="F57" i="82"/>
  <c r="E57" i="82"/>
  <c r="D57" i="82"/>
  <c r="W56" i="82"/>
  <c r="V56" i="82"/>
  <c r="U56" i="82"/>
  <c r="T56" i="82"/>
  <c r="S56" i="82"/>
  <c r="R56" i="82"/>
  <c r="Q56" i="82"/>
  <c r="P56" i="82"/>
  <c r="O56" i="82"/>
  <c r="N56" i="82"/>
  <c r="M56" i="82"/>
  <c r="L56" i="82"/>
  <c r="K56" i="82"/>
  <c r="J56" i="82"/>
  <c r="I56" i="82"/>
  <c r="H56" i="82"/>
  <c r="G56" i="82"/>
  <c r="F56" i="82"/>
  <c r="E56" i="82"/>
  <c r="D56" i="82"/>
  <c r="W55" i="82"/>
  <c r="V55" i="82"/>
  <c r="U55" i="82"/>
  <c r="T55" i="82"/>
  <c r="S55" i="82"/>
  <c r="R55" i="82"/>
  <c r="Q55" i="82"/>
  <c r="P55" i="82"/>
  <c r="O55" i="82"/>
  <c r="N55" i="82"/>
  <c r="M55" i="82"/>
  <c r="L55" i="82"/>
  <c r="K55" i="82"/>
  <c r="J55" i="82"/>
  <c r="I55" i="82"/>
  <c r="H55" i="82"/>
  <c r="G55" i="82"/>
  <c r="F55" i="82"/>
  <c r="E55" i="82"/>
  <c r="D55" i="82"/>
  <c r="W54" i="82"/>
  <c r="V54" i="82"/>
  <c r="U54" i="82"/>
  <c r="T54" i="82"/>
  <c r="S54" i="82"/>
  <c r="R54" i="82"/>
  <c r="Q54" i="82"/>
  <c r="P54" i="82"/>
  <c r="O54" i="82"/>
  <c r="N54" i="82"/>
  <c r="M54" i="82"/>
  <c r="L54" i="82"/>
  <c r="W53" i="82"/>
  <c r="V53" i="82"/>
  <c r="U53" i="82"/>
  <c r="T53" i="82"/>
  <c r="S53" i="82"/>
  <c r="R53" i="82"/>
  <c r="Q53" i="82"/>
  <c r="P53" i="82"/>
  <c r="O53" i="82"/>
  <c r="N53" i="82"/>
  <c r="M53" i="82"/>
  <c r="L53" i="82"/>
  <c r="K53" i="82"/>
  <c r="W52" i="82"/>
  <c r="V52" i="82"/>
  <c r="U52" i="82"/>
  <c r="T52" i="82"/>
  <c r="S52" i="82"/>
  <c r="R52" i="82"/>
  <c r="Q52" i="82"/>
  <c r="P52" i="82"/>
  <c r="O52" i="82"/>
  <c r="N52" i="82"/>
  <c r="W51" i="82"/>
  <c r="V51" i="82"/>
  <c r="U51" i="82"/>
  <c r="T51" i="82"/>
  <c r="S51" i="82"/>
  <c r="R51" i="82"/>
  <c r="Q51" i="82"/>
  <c r="P51" i="82"/>
  <c r="O51" i="82"/>
  <c r="N51" i="82"/>
  <c r="M51" i="82"/>
  <c r="L51" i="82"/>
  <c r="K51" i="82"/>
  <c r="W50" i="82"/>
  <c r="V50" i="82"/>
  <c r="U50" i="82"/>
  <c r="T50" i="82"/>
  <c r="S50" i="82"/>
  <c r="R50" i="82"/>
  <c r="Q50" i="82"/>
  <c r="P50" i="82"/>
  <c r="O50" i="82"/>
  <c r="N50" i="82"/>
  <c r="M50" i="82"/>
  <c r="L50" i="82"/>
  <c r="K50" i="82"/>
  <c r="K54" i="82" s="1"/>
  <c r="J50" i="82"/>
  <c r="J54" i="82" s="1"/>
  <c r="I50" i="82"/>
  <c r="I54" i="82" s="1"/>
  <c r="H50" i="82"/>
  <c r="H54" i="82" s="1"/>
  <c r="G50" i="82"/>
  <c r="G54" i="82" s="1"/>
  <c r="F50" i="82"/>
  <c r="F54" i="82" s="1"/>
  <c r="E50" i="82"/>
  <c r="E54" i="82" s="1"/>
  <c r="D50" i="82"/>
  <c r="D54" i="82" s="1"/>
  <c r="W49" i="82"/>
  <c r="V49" i="82"/>
  <c r="U49" i="82"/>
  <c r="T49" i="82"/>
  <c r="S49" i="82"/>
  <c r="R49" i="82"/>
  <c r="Q49" i="82"/>
  <c r="P49" i="82"/>
  <c r="O49" i="82"/>
  <c r="N49" i="82"/>
  <c r="M49" i="82"/>
  <c r="L49" i="82"/>
  <c r="K49" i="82"/>
  <c r="W48" i="82"/>
  <c r="V48" i="82"/>
  <c r="U48" i="82"/>
  <c r="T48" i="82"/>
  <c r="S48" i="82"/>
  <c r="R48" i="82"/>
  <c r="Q48" i="82"/>
  <c r="P48" i="82"/>
  <c r="O48" i="82"/>
  <c r="N48" i="82"/>
  <c r="M48" i="82"/>
  <c r="M52" i="82" s="1"/>
  <c r="L48" i="82"/>
  <c r="L52" i="82" s="1"/>
  <c r="K48" i="82"/>
  <c r="K52" i="82" s="1"/>
  <c r="W47" i="82"/>
  <c r="V47" i="82"/>
  <c r="U47" i="82"/>
  <c r="T47" i="82"/>
  <c r="S47" i="82"/>
  <c r="R47" i="82"/>
  <c r="Q47" i="82"/>
  <c r="P47" i="82"/>
  <c r="O47" i="82"/>
  <c r="N47" i="82"/>
  <c r="C47" i="82"/>
  <c r="C60" i="82" s="1"/>
  <c r="W44" i="82"/>
  <c r="V44" i="82"/>
  <c r="U44" i="82"/>
  <c r="T44" i="82"/>
  <c r="S44" i="82"/>
  <c r="R44" i="82"/>
  <c r="Q44" i="82"/>
  <c r="P44" i="82"/>
  <c r="O44" i="82"/>
  <c r="N44" i="82"/>
  <c r="W43" i="82"/>
  <c r="V43" i="82"/>
  <c r="U43" i="82"/>
  <c r="T43" i="82"/>
  <c r="S43" i="82"/>
  <c r="R43" i="82"/>
  <c r="Q43" i="82"/>
  <c r="P43" i="82"/>
  <c r="O43" i="82"/>
  <c r="N43" i="82"/>
  <c r="W42" i="82"/>
  <c r="V42" i="82"/>
  <c r="U42" i="82"/>
  <c r="T42" i="82"/>
  <c r="S42" i="82"/>
  <c r="R42" i="82"/>
  <c r="Q42" i="82"/>
  <c r="P42" i="82"/>
  <c r="O42" i="82"/>
  <c r="N42" i="82"/>
  <c r="W41" i="82"/>
  <c r="V41" i="82"/>
  <c r="U41" i="82"/>
  <c r="T41" i="82"/>
  <c r="S41" i="82"/>
  <c r="R41" i="82"/>
  <c r="Q41" i="82"/>
  <c r="P41" i="82"/>
  <c r="O41" i="82"/>
  <c r="N41" i="82"/>
  <c r="W40" i="82"/>
  <c r="V40" i="82"/>
  <c r="U40" i="82"/>
  <c r="T40" i="82"/>
  <c r="S40" i="82"/>
  <c r="R40" i="82"/>
  <c r="Q40" i="82"/>
  <c r="P40" i="82"/>
  <c r="O40" i="82"/>
  <c r="N40" i="82"/>
  <c r="W39" i="82"/>
  <c r="V39" i="82"/>
  <c r="U39" i="82"/>
  <c r="T39" i="82"/>
  <c r="S39" i="82"/>
  <c r="R39" i="82"/>
  <c r="Q39" i="82"/>
  <c r="P39" i="82"/>
  <c r="O39" i="82"/>
  <c r="N39" i="82"/>
  <c r="W38" i="82"/>
  <c r="V38" i="82"/>
  <c r="U38" i="82"/>
  <c r="T38" i="82"/>
  <c r="S38" i="82"/>
  <c r="R38" i="82"/>
  <c r="Q38" i="82"/>
  <c r="P38" i="82"/>
  <c r="O38" i="82"/>
  <c r="N38" i="82"/>
  <c r="M38" i="82"/>
  <c r="L38" i="82"/>
  <c r="K38" i="82"/>
  <c r="J38" i="82"/>
  <c r="I38" i="82"/>
  <c r="H38" i="82"/>
  <c r="G38" i="82"/>
  <c r="F38" i="82"/>
  <c r="E38" i="82"/>
  <c r="J48" i="82"/>
  <c r="D21" i="82"/>
  <c r="D31" i="82"/>
  <c r="D30" i="82"/>
  <c r="B54" i="82" s="1"/>
  <c r="D29" i="82"/>
  <c r="B52" i="82" s="1"/>
  <c r="D28" i="82"/>
  <c r="D27" i="82"/>
  <c r="B49" i="82" s="1"/>
  <c r="D32" i="82"/>
  <c r="B58" i="82" s="1"/>
  <c r="C10" i="78"/>
  <c r="C63" i="78"/>
  <c r="C40" i="78" s="1"/>
  <c r="D58" i="78"/>
  <c r="W57" i="78"/>
  <c r="V57" i="78"/>
  <c r="U57" i="78"/>
  <c r="T57" i="78"/>
  <c r="S57" i="78"/>
  <c r="R57" i="78"/>
  <c r="Q57" i="78"/>
  <c r="P57" i="78"/>
  <c r="O57" i="78"/>
  <c r="N57" i="78"/>
  <c r="M57" i="78"/>
  <c r="L57" i="78"/>
  <c r="K57" i="78"/>
  <c r="J57" i="78"/>
  <c r="I57" i="78"/>
  <c r="H57" i="78"/>
  <c r="G57" i="78"/>
  <c r="D57" i="78"/>
  <c r="W56" i="78"/>
  <c r="V56" i="78"/>
  <c r="U56" i="78"/>
  <c r="T56" i="78"/>
  <c r="S56" i="78"/>
  <c r="R56" i="78"/>
  <c r="Q56" i="78"/>
  <c r="P56" i="78"/>
  <c r="O56" i="78"/>
  <c r="N56" i="78"/>
  <c r="M56" i="78"/>
  <c r="L56" i="78"/>
  <c r="K56" i="78"/>
  <c r="J56" i="78"/>
  <c r="I56" i="78"/>
  <c r="H56" i="78"/>
  <c r="G56" i="78"/>
  <c r="F56" i="78"/>
  <c r="E56" i="78"/>
  <c r="D56" i="78"/>
  <c r="W55" i="78"/>
  <c r="V55" i="78"/>
  <c r="U55" i="78"/>
  <c r="T55" i="78"/>
  <c r="S55" i="78"/>
  <c r="R55" i="78"/>
  <c r="Q55" i="78"/>
  <c r="P55" i="78"/>
  <c r="O55" i="78"/>
  <c r="N55" i="78"/>
  <c r="M55" i="78"/>
  <c r="L55" i="78"/>
  <c r="K55" i="78"/>
  <c r="J55" i="78"/>
  <c r="I55" i="78"/>
  <c r="H55" i="78"/>
  <c r="G55" i="78"/>
  <c r="W50" i="78"/>
  <c r="W54" i="78" s="1"/>
  <c r="V50" i="78"/>
  <c r="V54" i="78" s="1"/>
  <c r="U50" i="78"/>
  <c r="U54" i="78" s="1"/>
  <c r="T50" i="78"/>
  <c r="T54" i="78" s="1"/>
  <c r="S50" i="78"/>
  <c r="S54" i="78" s="1"/>
  <c r="R50" i="78"/>
  <c r="R54" i="78" s="1"/>
  <c r="Q50" i="78"/>
  <c r="Q54" i="78" s="1"/>
  <c r="P50" i="78"/>
  <c r="P54" i="78" s="1"/>
  <c r="O50" i="78"/>
  <c r="O54" i="78" s="1"/>
  <c r="N50" i="78"/>
  <c r="N54" i="78" s="1"/>
  <c r="M50" i="78"/>
  <c r="M54" i="78" s="1"/>
  <c r="L50" i="78"/>
  <c r="L54" i="78" s="1"/>
  <c r="K50" i="78"/>
  <c r="K54" i="78" s="1"/>
  <c r="J50" i="78"/>
  <c r="J54" i="78" s="1"/>
  <c r="I50" i="78"/>
  <c r="I54" i="78" s="1"/>
  <c r="H50" i="78"/>
  <c r="H54" i="78" s="1"/>
  <c r="G50" i="78"/>
  <c r="G54" i="78" s="1"/>
  <c r="F50" i="78"/>
  <c r="F54" i="78" s="1"/>
  <c r="E50" i="78"/>
  <c r="E54" i="78" s="1"/>
  <c r="D50" i="78"/>
  <c r="D54" i="78" s="1"/>
  <c r="W48" i="78"/>
  <c r="W52" i="78" s="1"/>
  <c r="V48" i="78"/>
  <c r="V52" i="78" s="1"/>
  <c r="U48" i="78"/>
  <c r="U52" i="78" s="1"/>
  <c r="T48" i="78"/>
  <c r="T52" i="78" s="1"/>
  <c r="S48" i="78"/>
  <c r="S52" i="78" s="1"/>
  <c r="C47" i="78"/>
  <c r="C60" i="78" s="1"/>
  <c r="W38" i="78"/>
  <c r="V38" i="78"/>
  <c r="U38" i="78"/>
  <c r="T38" i="78"/>
  <c r="S38" i="78"/>
  <c r="R38" i="78"/>
  <c r="Q38" i="78"/>
  <c r="P38" i="78"/>
  <c r="O38" i="78"/>
  <c r="N38" i="78"/>
  <c r="M38" i="78"/>
  <c r="L38" i="78"/>
  <c r="K38" i="78"/>
  <c r="J38" i="78"/>
  <c r="I38" i="78"/>
  <c r="H38" i="78"/>
  <c r="G38" i="78"/>
  <c r="F38" i="78"/>
  <c r="E38" i="78"/>
  <c r="D31" i="78"/>
  <c r="A72" i="78" s="1"/>
  <c r="B72" i="78" s="1"/>
  <c r="D30" i="78"/>
  <c r="D29" i="78"/>
  <c r="D28" i="78"/>
  <c r="B50" i="78" s="1"/>
  <c r="D27" i="78"/>
  <c r="A70" i="78" s="1"/>
  <c r="B70" i="78" s="1"/>
  <c r="H22" i="78"/>
  <c r="D32" i="78" l="1"/>
  <c r="B58" i="78" s="1"/>
  <c r="D35" i="78"/>
  <c r="K47" i="82"/>
  <c r="K60" i="82" s="1"/>
  <c r="L47" i="82"/>
  <c r="L60" i="82" s="1"/>
  <c r="M47" i="82"/>
  <c r="M60" i="82" s="1"/>
  <c r="H52" i="83"/>
  <c r="A71" i="82"/>
  <c r="B71" i="82" s="1"/>
  <c r="B50" i="82"/>
  <c r="D21" i="78"/>
  <c r="D52" i="83"/>
  <c r="C62" i="83"/>
  <c r="C64" i="83" s="1"/>
  <c r="C66" i="83" s="1"/>
  <c r="C39" i="83"/>
  <c r="A70" i="83"/>
  <c r="B70" i="83" s="1"/>
  <c r="B48" i="83"/>
  <c r="B49" i="83"/>
  <c r="B50" i="83"/>
  <c r="A71" i="83"/>
  <c r="B71" i="83" s="1"/>
  <c r="B51" i="83"/>
  <c r="B55" i="83"/>
  <c r="B56" i="83"/>
  <c r="A72" i="83"/>
  <c r="B72" i="83" s="1"/>
  <c r="B57" i="83"/>
  <c r="B52" i="83"/>
  <c r="H22" i="83"/>
  <c r="D32" i="83"/>
  <c r="B58" i="83" s="1"/>
  <c r="D35" i="83"/>
  <c r="B55" i="82"/>
  <c r="A72" i="82"/>
  <c r="B72" i="82" s="1"/>
  <c r="B57" i="82"/>
  <c r="B56" i="82"/>
  <c r="C39" i="82"/>
  <c r="C41" i="82" s="1"/>
  <c r="C62" i="82"/>
  <c r="C64" i="82" s="1"/>
  <c r="C66" i="82" s="1"/>
  <c r="J52" i="82"/>
  <c r="D35" i="82"/>
  <c r="B48" i="82"/>
  <c r="A70" i="82"/>
  <c r="B70" i="82" s="1"/>
  <c r="B53" i="82"/>
  <c r="H22" i="82"/>
  <c r="I48" i="82"/>
  <c r="B51" i="82"/>
  <c r="D55" i="78"/>
  <c r="B53" i="78"/>
  <c r="B52" i="78"/>
  <c r="B54" i="78"/>
  <c r="B56" i="78"/>
  <c r="B55" i="78"/>
  <c r="B57" i="78"/>
  <c r="F57" i="78"/>
  <c r="E57" i="78"/>
  <c r="C62" i="78"/>
  <c r="C64" i="78" s="1"/>
  <c r="C66" i="78" s="1"/>
  <c r="C39" i="78"/>
  <c r="B49" i="78"/>
  <c r="B51" i="78"/>
  <c r="A71" i="78"/>
  <c r="B71" i="78" s="1"/>
  <c r="B48" i="78"/>
  <c r="C38" i="83" l="1"/>
  <c r="F61" i="83" s="1"/>
  <c r="M39" i="82"/>
  <c r="M62" i="82"/>
  <c r="L62" i="82"/>
  <c r="L39" i="82"/>
  <c r="K62" i="82"/>
  <c r="K39" i="82"/>
  <c r="I52" i="82"/>
  <c r="F55" i="78"/>
  <c r="E55" i="78"/>
  <c r="D65" i="83" l="1"/>
  <c r="E61" i="83"/>
  <c r="D61" i="83"/>
  <c r="E65" i="83"/>
  <c r="F65" i="83"/>
  <c r="C41" i="83"/>
  <c r="C43" i="83" s="1"/>
  <c r="C44" i="83" s="1"/>
  <c r="H61" i="83"/>
  <c r="G65" i="83"/>
  <c r="H65" i="83"/>
  <c r="G61" i="83"/>
  <c r="M41" i="82"/>
  <c r="M43" i="82" s="1"/>
  <c r="K41" i="82"/>
  <c r="K43" i="82" s="1"/>
  <c r="K63" i="82"/>
  <c r="K40" i="82" s="1"/>
  <c r="K64" i="82"/>
  <c r="K66" i="82" s="1"/>
  <c r="L63" i="82"/>
  <c r="L40" i="82" s="1"/>
  <c r="L41" i="82" s="1"/>
  <c r="L43" i="82" s="1"/>
  <c r="M63" i="82"/>
  <c r="M40" i="82" s="1"/>
  <c r="M64" i="82"/>
  <c r="M66" i="82" s="1"/>
  <c r="C42" i="83" l="1"/>
  <c r="L64" i="82"/>
  <c r="L66" i="82" s="1"/>
  <c r="I51" i="82" l="1"/>
  <c r="J51" i="82"/>
  <c r="J53" i="82" l="1"/>
  <c r="I53" i="82"/>
  <c r="I49" i="82"/>
  <c r="I47" i="82" s="1"/>
  <c r="I60" i="82" s="1"/>
  <c r="J49" i="82"/>
  <c r="I62" i="82" l="1"/>
  <c r="I39" i="82"/>
  <c r="J47" i="82"/>
  <c r="J60" i="82" s="1"/>
  <c r="I63" i="82" l="1"/>
  <c r="I40" i="82" s="1"/>
  <c r="I41" i="82" s="1"/>
  <c r="I43" i="82" s="1"/>
  <c r="J62" i="82"/>
  <c r="J39" i="82"/>
  <c r="I64" i="82" l="1"/>
  <c r="I66" i="82" s="1"/>
  <c r="J63" i="82"/>
  <c r="J40" i="82" s="1"/>
  <c r="J41" i="82" s="1"/>
  <c r="J43" i="82" s="1"/>
  <c r="AJ25" i="18"/>
  <c r="AJ29" i="18" s="1"/>
  <c r="J64" i="82" l="1"/>
  <c r="J66" i="82" s="1"/>
  <c r="BD33" i="18" l="1"/>
  <c r="BD25" i="18" l="1"/>
  <c r="BD29" i="18" s="1"/>
  <c r="BI14" i="18" s="1"/>
  <c r="BD26" i="18"/>
  <c r="BD21" i="18"/>
  <c r="BD20" i="18"/>
  <c r="BD19" i="18"/>
  <c r="BD18" i="18"/>
  <c r="BD17" i="18"/>
  <c r="BD16" i="18"/>
  <c r="BD15" i="18"/>
  <c r="BD14" i="18"/>
  <c r="BD13" i="18"/>
  <c r="BD12" i="18"/>
  <c r="BD11" i="18"/>
  <c r="BD10" i="18"/>
  <c r="BD9" i="18"/>
  <c r="BD8" i="18"/>
  <c r="BD7" i="18"/>
  <c r="BD6" i="18"/>
  <c r="BD5" i="18"/>
  <c r="BD4" i="18"/>
  <c r="BP14" i="18" l="1"/>
  <c r="BQ14" i="18" s="1"/>
  <c r="BN14" i="18"/>
  <c r="BD31" i="18"/>
  <c r="BI7" i="18"/>
  <c r="BP7" i="18" s="1"/>
  <c r="BQ7" i="18" s="1"/>
  <c r="BI15" i="18"/>
  <c r="BP15" i="18" s="1"/>
  <c r="BQ15" i="18" s="1"/>
  <c r="BI8" i="18"/>
  <c r="BI16" i="18"/>
  <c r="BP16" i="18" s="1"/>
  <c r="BQ16" i="18" s="1"/>
  <c r="BI9" i="18"/>
  <c r="BP9" i="18" s="1"/>
  <c r="BQ9" i="18" s="1"/>
  <c r="BI17" i="18"/>
  <c r="BP17" i="18" s="1"/>
  <c r="BQ17" i="18" s="1"/>
  <c r="BI10" i="18"/>
  <c r="BI18" i="18"/>
  <c r="BI11" i="18"/>
  <c r="BP11" i="18" s="1"/>
  <c r="BQ11" i="18" s="1"/>
  <c r="BI19" i="18"/>
  <c r="BP19" i="18" s="1"/>
  <c r="BQ19" i="18" s="1"/>
  <c r="BI4" i="18"/>
  <c r="BO4" i="18" s="1"/>
  <c r="BI12" i="18"/>
  <c r="BP12" i="18" s="1"/>
  <c r="BQ12" i="18" s="1"/>
  <c r="BI20" i="18"/>
  <c r="BI5" i="18"/>
  <c r="BP5" i="18" s="1"/>
  <c r="BQ5" i="18" s="1"/>
  <c r="BI13" i="18"/>
  <c r="BP13" i="18" s="1"/>
  <c r="BQ13" i="18" s="1"/>
  <c r="BI21" i="18"/>
  <c r="BP21" i="18" s="1"/>
  <c r="BQ21" i="18" s="1"/>
  <c r="BI6" i="18"/>
  <c r="BP6" i="18" s="1"/>
  <c r="BQ6" i="18" s="1"/>
  <c r="BD30" i="18"/>
  <c r="BD28" i="18"/>
  <c r="BD27" i="18"/>
  <c r="BN11" i="18"/>
  <c r="BN21" i="18" l="1"/>
  <c r="BP20" i="18"/>
  <c r="BQ20" i="18" s="1"/>
  <c r="BN20" i="18"/>
  <c r="BG18" i="18"/>
  <c r="BG10" i="18"/>
  <c r="BG17" i="18"/>
  <c r="BG9" i="18"/>
  <c r="BG16" i="18"/>
  <c r="BG8" i="18"/>
  <c r="BG15" i="18"/>
  <c r="BG7" i="18"/>
  <c r="BG14" i="18"/>
  <c r="BG6" i="18"/>
  <c r="BG21" i="18"/>
  <c r="BG13" i="18"/>
  <c r="BG5" i="18"/>
  <c r="BG20" i="18"/>
  <c r="BG12" i="18"/>
  <c r="BG4" i="18"/>
  <c r="BG19" i="18"/>
  <c r="BG11" i="18"/>
  <c r="BN10" i="18"/>
  <c r="BP10" i="18"/>
  <c r="BQ10" i="18" s="1"/>
  <c r="BH16" i="18"/>
  <c r="BH8" i="18"/>
  <c r="BH15" i="18"/>
  <c r="BH7" i="18"/>
  <c r="BH14" i="18"/>
  <c r="BH6" i="18"/>
  <c r="BH21" i="18"/>
  <c r="BH13" i="18"/>
  <c r="BH5" i="18"/>
  <c r="BH20" i="18"/>
  <c r="BH12" i="18"/>
  <c r="BH4" i="18"/>
  <c r="BH19" i="18"/>
  <c r="BH11" i="18"/>
  <c r="BH18" i="18"/>
  <c r="BH10" i="18"/>
  <c r="BH17" i="18"/>
  <c r="BH9" i="18"/>
  <c r="BP8" i="18"/>
  <c r="BQ8" i="18" s="1"/>
  <c r="BN8" i="18"/>
  <c r="BJ20" i="18"/>
  <c r="BJ12" i="18"/>
  <c r="BJ4" i="18"/>
  <c r="BJ19" i="18"/>
  <c r="BJ11" i="18"/>
  <c r="BJ18" i="18"/>
  <c r="BJ10" i="18"/>
  <c r="BJ17" i="18"/>
  <c r="BJ9" i="18"/>
  <c r="BJ16" i="18"/>
  <c r="BJ8" i="18"/>
  <c r="BJ15" i="18"/>
  <c r="BJ7" i="18"/>
  <c r="BJ14" i="18"/>
  <c r="BJ6" i="18"/>
  <c r="BJ21" i="18"/>
  <c r="BJ13" i="18"/>
  <c r="BJ5" i="18"/>
  <c r="BP4" i="18"/>
  <c r="BQ4" i="18" s="1"/>
  <c r="BM4" i="18"/>
  <c r="BN17" i="18"/>
  <c r="BN15" i="18"/>
  <c r="BP18" i="18"/>
  <c r="BQ18" i="18" s="1"/>
  <c r="BN18" i="18"/>
  <c r="BK18" i="18"/>
  <c r="BK10" i="18"/>
  <c r="BK17" i="18"/>
  <c r="BK9" i="18"/>
  <c r="BK16" i="18"/>
  <c r="BK8" i="18"/>
  <c r="BK15" i="18"/>
  <c r="BK7" i="18"/>
  <c r="BK14" i="18"/>
  <c r="BK6" i="18"/>
  <c r="BK21" i="18"/>
  <c r="BK13" i="18"/>
  <c r="BK5" i="18"/>
  <c r="BK20" i="18"/>
  <c r="BK12" i="18"/>
  <c r="BK4" i="18"/>
  <c r="BK19" i="18"/>
  <c r="BK11" i="18"/>
  <c r="BO6" i="18"/>
  <c r="BO5" i="18"/>
  <c r="BN4" i="18" l="1"/>
  <c r="BM5" i="18"/>
  <c r="BO7" i="18"/>
  <c r="BM6" i="18" l="1"/>
  <c r="BN5" i="18"/>
  <c r="BN6" i="18" l="1"/>
  <c r="BM7" i="18"/>
  <c r="BO9" i="18"/>
  <c r="BN7" i="18" l="1"/>
  <c r="BM8" i="18"/>
  <c r="BO8" i="18" l="1"/>
  <c r="BM9" i="18"/>
  <c r="BN9" i="18" l="1"/>
  <c r="BM10" i="18"/>
  <c r="BO12" i="18"/>
  <c r="BO10" i="18" l="1"/>
  <c r="BM11" i="18"/>
  <c r="BO13" i="18"/>
  <c r="BO11" i="18" l="1"/>
  <c r="BM12" i="18"/>
  <c r="BN12" i="18" l="1"/>
  <c r="BM13" i="18"/>
  <c r="BN13" i="18" l="1"/>
  <c r="BM14" i="18"/>
  <c r="BO16" i="18"/>
  <c r="BO14" i="18" l="1"/>
  <c r="BM15" i="18"/>
  <c r="BO15" i="18" l="1"/>
  <c r="BM16" i="18"/>
  <c r="BN16" i="18" l="1"/>
  <c r="BM17" i="18"/>
  <c r="BO19" i="18"/>
  <c r="BO17" i="18" l="1"/>
  <c r="BM18" i="18"/>
  <c r="BM19" i="18" l="1"/>
  <c r="BO18" i="18"/>
  <c r="BN19" i="18" l="1"/>
  <c r="BM20" i="18"/>
  <c r="BM21" i="18" l="1"/>
  <c r="BO21" i="18" s="1"/>
  <c r="BO20" i="18"/>
  <c r="AQ4" i="18" l="1"/>
  <c r="AQ21" i="18"/>
  <c r="AL6" i="18"/>
  <c r="AX6" i="18" s="1"/>
  <c r="AL7" i="18"/>
  <c r="AX7" i="18" s="1"/>
  <c r="AL5" i="18"/>
  <c r="AX5" i="18" s="1"/>
  <c r="AL21" i="18"/>
  <c r="AX21" i="18" s="1"/>
  <c r="AL20" i="18"/>
  <c r="AX20" i="18" s="1"/>
  <c r="AL19" i="18"/>
  <c r="AX19" i="18" s="1"/>
  <c r="AL18" i="18"/>
  <c r="AX18" i="18" s="1"/>
  <c r="AL17" i="18"/>
  <c r="AX17" i="18" s="1"/>
  <c r="AL16" i="18"/>
  <c r="AX16" i="18" s="1"/>
  <c r="AL15" i="18"/>
  <c r="AX15" i="18" s="1"/>
  <c r="AL14" i="18"/>
  <c r="AX14" i="18" s="1"/>
  <c r="AL13" i="18"/>
  <c r="AX13" i="18" s="1"/>
  <c r="AL12" i="18"/>
  <c r="AX12" i="18" s="1"/>
  <c r="AL11" i="18"/>
  <c r="AX11" i="18" s="1"/>
  <c r="AL10" i="18"/>
  <c r="AX10" i="18" s="1"/>
  <c r="AL9" i="18"/>
  <c r="AX9" i="18" s="1"/>
  <c r="AL8" i="18"/>
  <c r="AX8" i="18" s="1"/>
  <c r="AO21" i="18"/>
  <c r="AV21" i="18" s="1"/>
  <c r="AW21" i="18" s="1"/>
  <c r="AJ26" i="18"/>
  <c r="AJ21" i="18"/>
  <c r="AJ20" i="18"/>
  <c r="AJ19" i="18"/>
  <c r="AJ18" i="18"/>
  <c r="AJ17" i="18"/>
  <c r="AJ16" i="18"/>
  <c r="AJ15" i="18"/>
  <c r="AJ14" i="18"/>
  <c r="AJ13" i="18"/>
  <c r="AJ12" i="18"/>
  <c r="AJ11" i="18"/>
  <c r="AJ10" i="18"/>
  <c r="AJ9" i="18"/>
  <c r="AJ8" i="18"/>
  <c r="AJ7" i="18"/>
  <c r="AJ6" i="18"/>
  <c r="AJ5" i="18"/>
  <c r="AJ4" i="18"/>
  <c r="AY6" i="18" l="1"/>
  <c r="AY7" i="18"/>
  <c r="AY8" i="18"/>
  <c r="AY9" i="18"/>
  <c r="AY10" i="18"/>
  <c r="AY11" i="18"/>
  <c r="AY12" i="18"/>
  <c r="AY13" i="18"/>
  <c r="AY14" i="18"/>
  <c r="AY15" i="18"/>
  <c r="AY16" i="18"/>
  <c r="AY17" i="18"/>
  <c r="AY18" i="18"/>
  <c r="AY19" i="18"/>
  <c r="AY20" i="18"/>
  <c r="AY21" i="18"/>
  <c r="AY5" i="18"/>
  <c r="AJ33" i="18"/>
  <c r="AT21" i="18"/>
  <c r="AJ27" i="18"/>
  <c r="AM21" i="18" s="1"/>
  <c r="AO6" i="18"/>
  <c r="AO18" i="18"/>
  <c r="AO7" i="18"/>
  <c r="AO5" i="18"/>
  <c r="AO20" i="18"/>
  <c r="AO17" i="18"/>
  <c r="AO15" i="18"/>
  <c r="AO16" i="18"/>
  <c r="AJ30" i="18"/>
  <c r="AP21" i="18" s="1"/>
  <c r="AO11" i="18"/>
  <c r="AO9" i="18"/>
  <c r="AO13" i="18"/>
  <c r="AO4" i="18"/>
  <c r="AV4" i="18" s="1"/>
  <c r="AO12" i="18"/>
  <c r="AO10" i="18"/>
  <c r="AO8" i="18"/>
  <c r="AJ28" i="18"/>
  <c r="AN21" i="18" s="1"/>
  <c r="AO19" i="18"/>
  <c r="AO14" i="18"/>
  <c r="AT14" i="18" l="1"/>
  <c r="AV9" i="18"/>
  <c r="AW9" i="18" s="1"/>
  <c r="AT9" i="18"/>
  <c r="AT7" i="18"/>
  <c r="AT19" i="18"/>
  <c r="AT11" i="18"/>
  <c r="AT18" i="18"/>
  <c r="AU6" i="18"/>
  <c r="AT8" i="18"/>
  <c r="AT16" i="18"/>
  <c r="AT10" i="18"/>
  <c r="AT15" i="18"/>
  <c r="AV11" i="18"/>
  <c r="AW11" i="18" s="1"/>
  <c r="AV12" i="18"/>
  <c r="AW12" i="18" s="1"/>
  <c r="AT12" i="18"/>
  <c r="AV17" i="18"/>
  <c r="AW17" i="18" s="1"/>
  <c r="AT17" i="18"/>
  <c r="AW4" i="18"/>
  <c r="AU4" i="18"/>
  <c r="AT4" i="18"/>
  <c r="AV20" i="18"/>
  <c r="AW20" i="18" s="1"/>
  <c r="AT20" i="18"/>
  <c r="AT13" i="18"/>
  <c r="AS5" i="18"/>
  <c r="AT5" i="18" s="1"/>
  <c r="AU5" i="18"/>
  <c r="AP18" i="18"/>
  <c r="AP7" i="18"/>
  <c r="AP5" i="18"/>
  <c r="AP6" i="18"/>
  <c r="AP4" i="18"/>
  <c r="AP11" i="18"/>
  <c r="AP13" i="18"/>
  <c r="AP20" i="18"/>
  <c r="AP17" i="18"/>
  <c r="AP15" i="18"/>
  <c r="AP10" i="18"/>
  <c r="AP8" i="18"/>
  <c r="AP16" i="18"/>
  <c r="AP14" i="18"/>
  <c r="AP19" i="18"/>
  <c r="AP12" i="18"/>
  <c r="AP9" i="18"/>
  <c r="AV10" i="18"/>
  <c r="AW10" i="18" s="1"/>
  <c r="AV15" i="18"/>
  <c r="AW15" i="18" s="1"/>
  <c r="AV8" i="18"/>
  <c r="AW8" i="18" s="1"/>
  <c r="AV16" i="18"/>
  <c r="AW16" i="18" s="1"/>
  <c r="AV19" i="18"/>
  <c r="AW19" i="18" s="1"/>
  <c r="AV14" i="18"/>
  <c r="AW14" i="18" s="1"/>
  <c r="AV6" i="18"/>
  <c r="AW6" i="18" s="1"/>
  <c r="AM19" i="18"/>
  <c r="AM12" i="18"/>
  <c r="AM16" i="18"/>
  <c r="AM14" i="18"/>
  <c r="AM9" i="18"/>
  <c r="AM18" i="18"/>
  <c r="AM7" i="18"/>
  <c r="AM5" i="18"/>
  <c r="AM11" i="18"/>
  <c r="AM6" i="18"/>
  <c r="AM4" i="18"/>
  <c r="AM8" i="18"/>
  <c r="AM20" i="18"/>
  <c r="AM17" i="18"/>
  <c r="AM15" i="18"/>
  <c r="AM13" i="18"/>
  <c r="AM10" i="18"/>
  <c r="AV13" i="18"/>
  <c r="AW13" i="18" s="1"/>
  <c r="AV5" i="18"/>
  <c r="AW5" i="18" s="1"/>
  <c r="AV7" i="18"/>
  <c r="AW7" i="18" s="1"/>
  <c r="AN16" i="18"/>
  <c r="AN14" i="18"/>
  <c r="AN9" i="18"/>
  <c r="AN19" i="18"/>
  <c r="AN11" i="18"/>
  <c r="AN18" i="18"/>
  <c r="AN7" i="18"/>
  <c r="AN5" i="18"/>
  <c r="AN20" i="18"/>
  <c r="AN17" i="18"/>
  <c r="AN15" i="18"/>
  <c r="AN10" i="18"/>
  <c r="AN8" i="18"/>
  <c r="AN13" i="18"/>
  <c r="AN6" i="18"/>
  <c r="AN4" i="18"/>
  <c r="AN12" i="18"/>
  <c r="AV18" i="18"/>
  <c r="AW18" i="18" s="1"/>
  <c r="AQ11" i="18"/>
  <c r="AQ8" i="18"/>
  <c r="AQ20" i="18"/>
  <c r="AQ17" i="18"/>
  <c r="AQ15" i="18"/>
  <c r="AQ18" i="18"/>
  <c r="AQ7" i="18"/>
  <c r="AQ13" i="18"/>
  <c r="AQ6" i="18"/>
  <c r="AQ10" i="18"/>
  <c r="AQ19" i="18"/>
  <c r="AQ12" i="18"/>
  <c r="AQ16" i="18"/>
  <c r="AQ14" i="18"/>
  <c r="AQ9" i="18"/>
  <c r="AQ5" i="18"/>
  <c r="AS6" i="18" l="1"/>
  <c r="AT6" i="18" s="1"/>
  <c r="AS7" i="18" l="1"/>
  <c r="AU7" i="18" s="1"/>
  <c r="AS8" i="18" l="1"/>
  <c r="AU8" i="18" s="1"/>
  <c r="AS9" i="18" l="1"/>
  <c r="AU9" i="18" s="1"/>
  <c r="AS10" i="18" l="1"/>
  <c r="AU10" i="18" s="1"/>
  <c r="AS11" i="18" l="1"/>
  <c r="AU11" i="18" s="1"/>
  <c r="AS12" i="18" l="1"/>
  <c r="AU12" i="18" s="1"/>
  <c r="AS13" i="18" l="1"/>
  <c r="AU13" i="18" s="1"/>
  <c r="AS14" i="18" l="1"/>
  <c r="AU14" i="18" s="1"/>
  <c r="AS15" i="18" l="1"/>
  <c r="AU15" i="18" s="1"/>
  <c r="AS16" i="18" l="1"/>
  <c r="AU16" i="18" s="1"/>
  <c r="AS17" i="18" l="1"/>
  <c r="AU17" i="18" s="1"/>
  <c r="AS18" i="18" l="1"/>
  <c r="AU18" i="18" s="1"/>
  <c r="AS19" i="18" l="1"/>
  <c r="AU19" i="18" s="1"/>
  <c r="AS20" i="18" l="1"/>
  <c r="AS21" i="18" l="1"/>
  <c r="AU21" i="18" s="1"/>
  <c r="AU20" i="18"/>
  <c r="O16" i="12" l="1"/>
  <c r="AF4" i="18"/>
  <c r="AF5" i="18"/>
  <c r="AF6" i="18"/>
  <c r="AF7" i="18"/>
  <c r="AF8" i="18"/>
  <c r="AF9" i="18"/>
  <c r="AF10" i="18"/>
  <c r="AF11" i="18"/>
  <c r="AF12" i="18"/>
  <c r="AF13" i="18"/>
  <c r="AF14" i="18"/>
  <c r="AF15" i="18"/>
  <c r="AF16" i="18"/>
  <c r="AF17" i="18"/>
  <c r="AF18" i="18"/>
  <c r="AF19" i="18"/>
  <c r="AF20" i="18"/>
  <c r="AB20" i="18"/>
  <c r="N20" i="18"/>
  <c r="AB19" i="18"/>
  <c r="N19" i="18"/>
  <c r="AB18" i="18"/>
  <c r="N18" i="18"/>
  <c r="AB17" i="18"/>
  <c r="N17" i="18"/>
  <c r="AB16" i="18"/>
  <c r="N16" i="18"/>
  <c r="AB15" i="18"/>
  <c r="N15" i="18"/>
  <c r="AB14" i="18"/>
  <c r="N14" i="18"/>
  <c r="AB13" i="18"/>
  <c r="N13" i="18"/>
  <c r="AB12" i="18"/>
  <c r="N12" i="18"/>
  <c r="AB11" i="18"/>
  <c r="N11" i="18"/>
  <c r="AB10" i="18"/>
  <c r="N10" i="18"/>
  <c r="AB9" i="18"/>
  <c r="N9" i="18"/>
  <c r="AB8" i="18"/>
  <c r="N8" i="18"/>
  <c r="AB7" i="18"/>
  <c r="N7" i="18"/>
  <c r="AB6" i="18"/>
  <c r="N6" i="18"/>
  <c r="AB5" i="18"/>
  <c r="N5" i="18"/>
  <c r="AB4" i="18"/>
  <c r="N4" i="18"/>
  <c r="N26" i="18"/>
  <c r="N25" i="18"/>
  <c r="N29" i="18" l="1"/>
  <c r="N31" i="18" s="1"/>
  <c r="S4" i="18"/>
  <c r="S13" i="18"/>
  <c r="S6" i="18"/>
  <c r="X13" i="18"/>
  <c r="S5" i="18"/>
  <c r="S14" i="18"/>
  <c r="S12" i="18"/>
  <c r="S20" i="18"/>
  <c r="S7" i="18"/>
  <c r="S15" i="18"/>
  <c r="S10" i="18"/>
  <c r="S18" i="18"/>
  <c r="Z6" i="18"/>
  <c r="AA6" i="18" s="1"/>
  <c r="S8" i="18"/>
  <c r="S16" i="18"/>
  <c r="S11" i="18"/>
  <c r="S19" i="18"/>
  <c r="S9" i="18"/>
  <c r="S17" i="18"/>
  <c r="N30" i="18" l="1"/>
  <c r="N28" i="18"/>
  <c r="N27" i="18"/>
  <c r="Q7" i="18" s="1"/>
  <c r="AC13" i="18"/>
  <c r="Z13" i="18"/>
  <c r="AA13" i="18" s="1"/>
  <c r="Z14" i="18"/>
  <c r="AA14" i="18" s="1"/>
  <c r="W4" i="18"/>
  <c r="Y4" i="18" s="1"/>
  <c r="C70" i="82"/>
  <c r="D70" i="82" s="1"/>
  <c r="E70" i="82" s="1"/>
  <c r="F70" i="82" s="1"/>
  <c r="C70" i="83"/>
  <c r="D70" i="83" s="1"/>
  <c r="Z5" i="18"/>
  <c r="AA5" i="18" s="1"/>
  <c r="X16" i="18"/>
  <c r="X7" i="18"/>
  <c r="Y15" i="18"/>
  <c r="X8" i="18"/>
  <c r="AC14" i="18"/>
  <c r="X14" i="18"/>
  <c r="X11" i="18"/>
  <c r="X4" i="18"/>
  <c r="AC5" i="18"/>
  <c r="Y5" i="18"/>
  <c r="X19" i="18"/>
  <c r="X20" i="18"/>
  <c r="Y12" i="18"/>
  <c r="Y17" i="18"/>
  <c r="X18" i="18"/>
  <c r="X9" i="18"/>
  <c r="Y10" i="18"/>
  <c r="AC6" i="18"/>
  <c r="X6" i="18"/>
  <c r="Q15" i="18"/>
  <c r="Q6" i="18"/>
  <c r="Q5" i="18"/>
  <c r="Q10" i="18"/>
  <c r="R20" i="18"/>
  <c r="R12" i="18"/>
  <c r="R4" i="18"/>
  <c r="R17" i="18"/>
  <c r="R9" i="18"/>
  <c r="R14" i="18"/>
  <c r="R6" i="18"/>
  <c r="R19" i="18"/>
  <c r="R11" i="18"/>
  <c r="R16" i="18"/>
  <c r="R13" i="18"/>
  <c r="R5" i="18"/>
  <c r="R8" i="18"/>
  <c r="R18" i="18"/>
  <c r="R10" i="18"/>
  <c r="R15" i="18"/>
  <c r="R7" i="18"/>
  <c r="AC16" i="18"/>
  <c r="Z16" i="18"/>
  <c r="AA16" i="18" s="1"/>
  <c r="Z7" i="18"/>
  <c r="AA7" i="18" s="1"/>
  <c r="AC7" i="18"/>
  <c r="T14" i="18"/>
  <c r="T6" i="18"/>
  <c r="T19" i="18"/>
  <c r="T11" i="18"/>
  <c r="T10" i="18"/>
  <c r="T16" i="18"/>
  <c r="T8" i="18"/>
  <c r="T13" i="18"/>
  <c r="T5" i="18"/>
  <c r="T18" i="18"/>
  <c r="T15" i="18"/>
  <c r="T7" i="18"/>
  <c r="T20" i="18"/>
  <c r="T12" i="18"/>
  <c r="T4" i="18"/>
  <c r="T17" i="18"/>
  <c r="T9" i="18"/>
  <c r="U19" i="18"/>
  <c r="U11" i="18"/>
  <c r="U16" i="18"/>
  <c r="U8" i="18"/>
  <c r="U13" i="18"/>
  <c r="U5" i="18"/>
  <c r="U18" i="18"/>
  <c r="U10" i="18"/>
  <c r="U7" i="18"/>
  <c r="U15" i="18"/>
  <c r="U20" i="18"/>
  <c r="U12" i="18"/>
  <c r="U4" i="18"/>
  <c r="U17" i="18"/>
  <c r="U9" i="18"/>
  <c r="U14" i="18"/>
  <c r="U6" i="18"/>
  <c r="AC8" i="18"/>
  <c r="Z8" i="18"/>
  <c r="AA8" i="18" s="1"/>
  <c r="Z20" i="18"/>
  <c r="AA20" i="18" s="1"/>
  <c r="AC20" i="18"/>
  <c r="Z17" i="18"/>
  <c r="AA17" i="18" s="1"/>
  <c r="AC17" i="18"/>
  <c r="Z12" i="18"/>
  <c r="AA12" i="18" s="1"/>
  <c r="AC12" i="18"/>
  <c r="Z9" i="18"/>
  <c r="AA9" i="18" s="1"/>
  <c r="AC9" i="18"/>
  <c r="AC18" i="18"/>
  <c r="Z18" i="18"/>
  <c r="AA18" i="18" s="1"/>
  <c r="Z4" i="18"/>
  <c r="AA4" i="18" s="1"/>
  <c r="AC4" i="18"/>
  <c r="AC19" i="18"/>
  <c r="Z19" i="18"/>
  <c r="AA19" i="18" s="1"/>
  <c r="AC10" i="18"/>
  <c r="Z10" i="18"/>
  <c r="AA10" i="18" s="1"/>
  <c r="AC11" i="18"/>
  <c r="Z11" i="18"/>
  <c r="AA11" i="18" s="1"/>
  <c r="Z15" i="18"/>
  <c r="AA15" i="18" s="1"/>
  <c r="AC15" i="18"/>
  <c r="Q18" i="18" l="1"/>
  <c r="Q14" i="18"/>
  <c r="Q9" i="18"/>
  <c r="Q13" i="18"/>
  <c r="Q17" i="18"/>
  <c r="Q4" i="18"/>
  <c r="Q11" i="18"/>
  <c r="Q8" i="18"/>
  <c r="Q12" i="18"/>
  <c r="Q16" i="18"/>
  <c r="Q20" i="18"/>
  <c r="Q19" i="18"/>
  <c r="W5" i="18"/>
  <c r="G70" i="82"/>
  <c r="F49" i="82"/>
  <c r="E70" i="78"/>
  <c r="F70" i="78" s="1"/>
  <c r="G70" i="78" s="1"/>
  <c r="H70" i="78" s="1"/>
  <c r="I70" i="78" s="1"/>
  <c r="J70" i="78" s="1"/>
  <c r="K70" i="78" s="1"/>
  <c r="L70" i="78" s="1"/>
  <c r="M70" i="78" s="1"/>
  <c r="N70" i="78" s="1"/>
  <c r="O70" i="78" s="1"/>
  <c r="P70" i="78" s="1"/>
  <c r="Q70" i="78" s="1"/>
  <c r="R70" i="78" s="1"/>
  <c r="S70" i="78" s="1"/>
  <c r="T70" i="78" s="1"/>
  <c r="U70" i="78" s="1"/>
  <c r="V70" i="78" s="1"/>
  <c r="W70" i="78" s="1"/>
  <c r="X70" i="78" s="1"/>
  <c r="D49" i="83"/>
  <c r="E70" i="83"/>
  <c r="F70" i="83" s="1"/>
  <c r="G70" i="83" s="1"/>
  <c r="H70" i="83" s="1"/>
  <c r="D49" i="82"/>
  <c r="E49" i="82"/>
  <c r="K16" i="11"/>
  <c r="L16" i="11"/>
  <c r="B17" i="11"/>
  <c r="B16" i="11"/>
  <c r="X49" i="78" l="1"/>
  <c r="Y70" i="78"/>
  <c r="E49" i="78"/>
  <c r="W6" i="18"/>
  <c r="X5" i="18"/>
  <c r="H70" i="82"/>
  <c r="G49" i="82"/>
  <c r="E49" i="83"/>
  <c r="Y49" i="78" l="1"/>
  <c r="Z70" i="78"/>
  <c r="F49" i="78"/>
  <c r="W7" i="18"/>
  <c r="Y6" i="18"/>
  <c r="I70" i="82"/>
  <c r="J70" i="82" s="1"/>
  <c r="K70" i="82" s="1"/>
  <c r="H49" i="82"/>
  <c r="F49" i="83"/>
  <c r="C19" i="18"/>
  <c r="N16" i="13"/>
  <c r="C72" i="97" s="1"/>
  <c r="D72" i="97" s="1"/>
  <c r="O16" i="13"/>
  <c r="Z49" i="78" l="1"/>
  <c r="AA70" i="78"/>
  <c r="D53" i="97"/>
  <c r="E72" i="97"/>
  <c r="BD35" i="18"/>
  <c r="AJ35" i="18"/>
  <c r="C72" i="82"/>
  <c r="D72" i="82" s="1"/>
  <c r="C72" i="83"/>
  <c r="D72" i="83" s="1"/>
  <c r="C13" i="18"/>
  <c r="C72" i="78"/>
  <c r="D72" i="78" s="1"/>
  <c r="G49" i="78"/>
  <c r="W8" i="18"/>
  <c r="Y7" i="18"/>
  <c r="AE8" i="18"/>
  <c r="AE4" i="18"/>
  <c r="AE17" i="18"/>
  <c r="AE14" i="18"/>
  <c r="AE18" i="18"/>
  <c r="AE15" i="18"/>
  <c r="AE13" i="18"/>
  <c r="AE11" i="18"/>
  <c r="AE9" i="18"/>
  <c r="AE5" i="18"/>
  <c r="AG5" i="18" s="1"/>
  <c r="AE16" i="18"/>
  <c r="AE19" i="18"/>
  <c r="AE10" i="18"/>
  <c r="AE20" i="18"/>
  <c r="AE6" i="18"/>
  <c r="AE12" i="18"/>
  <c r="AE7" i="18"/>
  <c r="I53" i="83"/>
  <c r="I51" i="83"/>
  <c r="G49" i="83"/>
  <c r="AD20" i="18"/>
  <c r="AD17" i="18"/>
  <c r="AD12" i="18"/>
  <c r="AD7" i="18"/>
  <c r="AD14" i="18"/>
  <c r="AD9" i="18"/>
  <c r="AD10" i="18"/>
  <c r="AD5" i="18"/>
  <c r="AD19" i="18"/>
  <c r="AD4" i="18"/>
  <c r="AD15" i="18"/>
  <c r="N33" i="18"/>
  <c r="AD16" i="18"/>
  <c r="AD11" i="18"/>
  <c r="AD6" i="18"/>
  <c r="AD13" i="18"/>
  <c r="AD18" i="18"/>
  <c r="AD8" i="18"/>
  <c r="N38" i="18"/>
  <c r="AB70" i="78" l="1"/>
  <c r="AB49" i="78" s="1"/>
  <c r="AA49" i="78"/>
  <c r="E53" i="97"/>
  <c r="F72" i="97"/>
  <c r="E72" i="78"/>
  <c r="D53" i="78"/>
  <c r="E72" i="83"/>
  <c r="D53" i="83"/>
  <c r="E72" i="82"/>
  <c r="D53" i="82"/>
  <c r="H49" i="78"/>
  <c r="W9" i="18"/>
  <c r="Y8" i="18"/>
  <c r="H49" i="83"/>
  <c r="I49" i="83"/>
  <c r="I47" i="83" s="1"/>
  <c r="I60" i="83" s="1"/>
  <c r="E26" i="11"/>
  <c r="G72" i="97" l="1"/>
  <c r="F53" i="97"/>
  <c r="F72" i="83"/>
  <c r="E53" i="83"/>
  <c r="F72" i="82"/>
  <c r="E53" i="82"/>
  <c r="F72" i="78"/>
  <c r="E53" i="78"/>
  <c r="M48" i="78"/>
  <c r="M52" i="78" s="1"/>
  <c r="L48" i="78"/>
  <c r="L52" i="78" s="1"/>
  <c r="E48" i="78"/>
  <c r="K48" i="78"/>
  <c r="K52" i="78" s="1"/>
  <c r="O48" i="78"/>
  <c r="O52" i="78" s="1"/>
  <c r="R48" i="78"/>
  <c r="R52" i="78" s="1"/>
  <c r="J48" i="78"/>
  <c r="J52" i="78" s="1"/>
  <c r="H48" i="78"/>
  <c r="H52" i="78" s="1"/>
  <c r="Q48" i="78"/>
  <c r="Q52" i="78" s="1"/>
  <c r="I48" i="78"/>
  <c r="I52" i="78" s="1"/>
  <c r="P48" i="78"/>
  <c r="P52" i="78" s="1"/>
  <c r="G48" i="78"/>
  <c r="N48" i="78"/>
  <c r="N52" i="78" s="1"/>
  <c r="F48" i="78"/>
  <c r="I49" i="78"/>
  <c r="W10" i="18"/>
  <c r="Y9" i="18"/>
  <c r="I39" i="83"/>
  <c r="I62" i="83"/>
  <c r="D48" i="78"/>
  <c r="H72" i="97" l="1"/>
  <c r="G53" i="97"/>
  <c r="G72" i="82"/>
  <c r="F53" i="82"/>
  <c r="G72" i="78"/>
  <c r="F53" i="78"/>
  <c r="F52" i="78"/>
  <c r="G52" i="78"/>
  <c r="E52" i="78"/>
  <c r="G72" i="83"/>
  <c r="F53" i="83"/>
  <c r="J49" i="78"/>
  <c r="W11" i="18"/>
  <c r="X10" i="18"/>
  <c r="I63" i="83"/>
  <c r="I40" i="83" s="1"/>
  <c r="I41" i="83" s="1"/>
  <c r="D52" i="78"/>
  <c r="H53" i="97" l="1"/>
  <c r="I72" i="97"/>
  <c r="H72" i="78"/>
  <c r="G53" i="78"/>
  <c r="H72" i="83"/>
  <c r="H53" i="83" s="1"/>
  <c r="G53" i="83"/>
  <c r="H72" i="82"/>
  <c r="G53" i="82"/>
  <c r="K49" i="78"/>
  <c r="W12" i="18"/>
  <c r="Y11" i="18"/>
  <c r="I43" i="83"/>
  <c r="I44" i="83" s="1"/>
  <c r="I42" i="83"/>
  <c r="I64" i="83"/>
  <c r="I66" i="83" s="1"/>
  <c r="I53" i="97" l="1"/>
  <c r="J72" i="97"/>
  <c r="I72" i="78"/>
  <c r="H53" i="78"/>
  <c r="H53" i="82"/>
  <c r="I72" i="82"/>
  <c r="J72" i="82" s="1"/>
  <c r="K72" i="82" s="1"/>
  <c r="L49" i="78"/>
  <c r="W13" i="18"/>
  <c r="X12" i="18"/>
  <c r="C3" i="16"/>
  <c r="J53" i="97" l="1"/>
  <c r="K72" i="97"/>
  <c r="J72" i="78"/>
  <c r="I53" i="78"/>
  <c r="M49" i="78"/>
  <c r="W14" i="18"/>
  <c r="Y13" i="18"/>
  <c r="E4" i="12"/>
  <c r="H4" i="12"/>
  <c r="I4" i="12"/>
  <c r="J4" i="12"/>
  <c r="E5" i="11"/>
  <c r="E6" i="11"/>
  <c r="E7" i="11"/>
  <c r="E8" i="11"/>
  <c r="E9" i="11"/>
  <c r="E10" i="11"/>
  <c r="E11" i="11"/>
  <c r="E12" i="11"/>
  <c r="E13" i="11"/>
  <c r="E14" i="11"/>
  <c r="E15" i="11"/>
  <c r="E4" i="11"/>
  <c r="G4" i="11"/>
  <c r="H4" i="11"/>
  <c r="I4" i="11"/>
  <c r="D3" i="16"/>
  <c r="D17" i="11"/>
  <c r="L72" i="97" l="1"/>
  <c r="K53" i="97"/>
  <c r="K72" i="78"/>
  <c r="J53" i="78"/>
  <c r="N49" i="78"/>
  <c r="W15" i="18"/>
  <c r="Y14" i="18"/>
  <c r="E17" i="11"/>
  <c r="E3" i="16"/>
  <c r="L53" i="97" l="1"/>
  <c r="M72" i="97"/>
  <c r="G25" i="83"/>
  <c r="F9" i="94" s="1"/>
  <c r="L72" i="78"/>
  <c r="K53" i="78"/>
  <c r="O49" i="78"/>
  <c r="W16" i="18"/>
  <c r="X15" i="18"/>
  <c r="D16" i="12"/>
  <c r="C16" i="12"/>
  <c r="N72" i="97" l="1"/>
  <c r="M53" i="97"/>
  <c r="G26" i="82"/>
  <c r="G48" i="82"/>
  <c r="F48" i="82"/>
  <c r="H48" i="82"/>
  <c r="M72" i="78"/>
  <c r="L53" i="78"/>
  <c r="P49" i="78"/>
  <c r="W17" i="18"/>
  <c r="Y16" i="18"/>
  <c r="D48" i="82"/>
  <c r="E48" i="82"/>
  <c r="G25" i="82"/>
  <c r="C17" i="11"/>
  <c r="N53" i="97" l="1"/>
  <c r="O72" i="97"/>
  <c r="H52" i="82"/>
  <c r="F52" i="82"/>
  <c r="G52" i="82"/>
  <c r="N72" i="78"/>
  <c r="M53" i="78"/>
  <c r="Q49" i="78"/>
  <c r="W18" i="18"/>
  <c r="X17" i="18"/>
  <c r="E52" i="82"/>
  <c r="D52" i="82"/>
  <c r="H5" i="13"/>
  <c r="I5" i="13"/>
  <c r="J5" i="13"/>
  <c r="K5" i="13"/>
  <c r="H6" i="13"/>
  <c r="I6" i="13"/>
  <c r="K6" i="13"/>
  <c r="H7" i="13"/>
  <c r="I7" i="13"/>
  <c r="H8" i="13"/>
  <c r="I8" i="13"/>
  <c r="H9" i="13"/>
  <c r="I9" i="13"/>
  <c r="H10" i="13"/>
  <c r="I10" i="13"/>
  <c r="H11" i="13"/>
  <c r="I11" i="13"/>
  <c r="H12" i="13"/>
  <c r="I12" i="13"/>
  <c r="H13" i="13"/>
  <c r="I13" i="13"/>
  <c r="H14" i="13"/>
  <c r="I14" i="13"/>
  <c r="H15" i="13"/>
  <c r="I15" i="13"/>
  <c r="I4" i="13"/>
  <c r="J4" i="13"/>
  <c r="K4" i="13"/>
  <c r="I5" i="12"/>
  <c r="J5" i="12"/>
  <c r="I6" i="12"/>
  <c r="J6" i="12"/>
  <c r="I7" i="12"/>
  <c r="J7" i="12"/>
  <c r="I8" i="12"/>
  <c r="J8" i="12"/>
  <c r="I9" i="12"/>
  <c r="J9" i="12"/>
  <c r="I10" i="12"/>
  <c r="I11" i="12"/>
  <c r="I12" i="12"/>
  <c r="I13" i="12"/>
  <c r="I14" i="12"/>
  <c r="I15" i="12"/>
  <c r="H5" i="12"/>
  <c r="H6" i="12"/>
  <c r="H7" i="12"/>
  <c r="H8" i="12"/>
  <c r="H9" i="12"/>
  <c r="H10" i="12"/>
  <c r="H11" i="12"/>
  <c r="H16" i="12" s="1"/>
  <c r="H12" i="12"/>
  <c r="H13" i="12"/>
  <c r="H14" i="12"/>
  <c r="H15" i="12"/>
  <c r="B9" i="18"/>
  <c r="B8" i="18"/>
  <c r="B22" i="18" s="1"/>
  <c r="B6" i="18"/>
  <c r="B4" i="18"/>
  <c r="B21" i="18" s="1"/>
  <c r="B2" i="18"/>
  <c r="N1" i="13"/>
  <c r="N1" i="12"/>
  <c r="B10" i="17" s="1"/>
  <c r="C1" i="13"/>
  <c r="H1" i="13"/>
  <c r="I1" i="12"/>
  <c r="C1" i="12"/>
  <c r="G5" i="11"/>
  <c r="H5" i="11"/>
  <c r="I5" i="11"/>
  <c r="G6" i="11"/>
  <c r="H6" i="11"/>
  <c r="I6" i="11"/>
  <c r="G7" i="11"/>
  <c r="H7" i="11"/>
  <c r="I7" i="11"/>
  <c r="G8" i="11"/>
  <c r="I8" i="11"/>
  <c r="G9" i="11"/>
  <c r="G10" i="11"/>
  <c r="G11" i="11"/>
  <c r="G12" i="11"/>
  <c r="G13" i="11"/>
  <c r="G14" i="11"/>
  <c r="G15" i="11"/>
  <c r="C1" i="18"/>
  <c r="E5" i="13"/>
  <c r="E4" i="13"/>
  <c r="E5" i="12"/>
  <c r="E6" i="12"/>
  <c r="E7" i="12"/>
  <c r="E8" i="12"/>
  <c r="E9" i="12"/>
  <c r="E10" i="12"/>
  <c r="E11" i="12"/>
  <c r="E12" i="12"/>
  <c r="E13" i="12"/>
  <c r="E14" i="12"/>
  <c r="E15" i="12"/>
  <c r="C16" i="11"/>
  <c r="B9" i="17"/>
  <c r="N16" i="12"/>
  <c r="M16" i="12"/>
  <c r="D16" i="11"/>
  <c r="B5" i="18"/>
  <c r="B16" i="13"/>
  <c r="B16" i="12"/>
  <c r="E6" i="16"/>
  <c r="D6" i="16"/>
  <c r="C6" i="16"/>
  <c r="B6" i="16"/>
  <c r="B3" i="16" s="1"/>
  <c r="B16" i="17"/>
  <c r="H4" i="13"/>
  <c r="M16" i="13"/>
  <c r="P72" i="97" l="1"/>
  <c r="O53" i="97"/>
  <c r="I16" i="12"/>
  <c r="C71" i="83"/>
  <c r="D71" i="83" s="1"/>
  <c r="C71" i="78"/>
  <c r="D71" i="78" s="1"/>
  <c r="C71" i="82"/>
  <c r="D71" i="82" s="1"/>
  <c r="E16" i="12"/>
  <c r="E18" i="12"/>
  <c r="B17" i="17"/>
  <c r="B9" i="16"/>
  <c r="E19" i="13"/>
  <c r="B18" i="17"/>
  <c r="B13" i="18"/>
  <c r="O72" i="78"/>
  <c r="N53" i="78"/>
  <c r="J16" i="12"/>
  <c r="R49" i="78"/>
  <c r="W19" i="18"/>
  <c r="Y18" i="18"/>
  <c r="G17" i="11"/>
  <c r="E20" i="12"/>
  <c r="E49" i="12"/>
  <c r="C9" i="18"/>
  <c r="I16" i="13"/>
  <c r="C9" i="16"/>
  <c r="G16" i="11"/>
  <c r="D9" i="16"/>
  <c r="H16" i="13"/>
  <c r="E16" i="11"/>
  <c r="P17" i="12"/>
  <c r="E27" i="11"/>
  <c r="E24" i="11"/>
  <c r="E25" i="11"/>
  <c r="E21" i="11"/>
  <c r="E22" i="11"/>
  <c r="E20" i="11"/>
  <c r="E23" i="11"/>
  <c r="B11" i="17"/>
  <c r="C71" i="97" l="1"/>
  <c r="D71" i="97" s="1"/>
  <c r="P53" i="97"/>
  <c r="Q72" i="97"/>
  <c r="D58" i="11"/>
  <c r="D61" i="11"/>
  <c r="D62" i="11"/>
  <c r="D56" i="11"/>
  <c r="D60" i="11"/>
  <c r="E28" i="11"/>
  <c r="D26" i="11" s="1"/>
  <c r="D57" i="11"/>
  <c r="E71" i="82"/>
  <c r="D51" i="82"/>
  <c r="D47" i="82" s="1"/>
  <c r="C18" i="18"/>
  <c r="P72" i="78"/>
  <c r="O53" i="78"/>
  <c r="D51" i="78"/>
  <c r="D47" i="78" s="1"/>
  <c r="G24" i="78" s="1"/>
  <c r="O8" i="94" s="1"/>
  <c r="E71" i="78"/>
  <c r="E71" i="83"/>
  <c r="D51" i="83"/>
  <c r="D47" i="83" s="1"/>
  <c r="S49" i="78"/>
  <c r="W20" i="18"/>
  <c r="Y20" i="18" s="1"/>
  <c r="Y19" i="18"/>
  <c r="D59" i="11"/>
  <c r="D63" i="11"/>
  <c r="D20" i="12"/>
  <c r="C17" i="17"/>
  <c r="C16" i="17"/>
  <c r="H9" i="11"/>
  <c r="H8" i="11"/>
  <c r="J6" i="13"/>
  <c r="E6" i="13"/>
  <c r="K7" i="13"/>
  <c r="Q53" i="97" l="1"/>
  <c r="R72" i="97"/>
  <c r="D51" i="97"/>
  <c r="D47" i="97" s="1"/>
  <c r="E71" i="97"/>
  <c r="D27" i="11"/>
  <c r="H19" i="11"/>
  <c r="D20" i="11"/>
  <c r="D24" i="11"/>
  <c r="D22" i="11"/>
  <c r="D25" i="11"/>
  <c r="D23" i="11"/>
  <c r="D21" i="11"/>
  <c r="Q72" i="78"/>
  <c r="P53" i="78"/>
  <c r="G24" i="82"/>
  <c r="D60" i="82"/>
  <c r="D39" i="82" s="1"/>
  <c r="F71" i="82"/>
  <c r="E51" i="82"/>
  <c r="E47" i="82" s="1"/>
  <c r="E60" i="82" s="1"/>
  <c r="E39" i="82" s="1"/>
  <c r="D60" i="78"/>
  <c r="D39" i="78" s="1"/>
  <c r="D60" i="83"/>
  <c r="F8" i="94"/>
  <c r="F71" i="83"/>
  <c r="E51" i="83"/>
  <c r="E47" i="83" s="1"/>
  <c r="E60" i="83" s="1"/>
  <c r="C4" i="18"/>
  <c r="C21" i="18" s="1"/>
  <c r="C8" i="18"/>
  <c r="D15" i="18" s="1"/>
  <c r="F71" i="78"/>
  <c r="E51" i="78"/>
  <c r="E47" i="78" s="1"/>
  <c r="E60" i="78" s="1"/>
  <c r="E39" i="78" s="1"/>
  <c r="T49" i="78"/>
  <c r="D64" i="11"/>
  <c r="E58" i="11" s="1"/>
  <c r="H10" i="11"/>
  <c r="E7" i="13"/>
  <c r="J7" i="13"/>
  <c r="K8" i="13"/>
  <c r="F71" i="97" l="1"/>
  <c r="E51" i="97"/>
  <c r="E47" i="97" s="1"/>
  <c r="E60" i="97" s="1"/>
  <c r="D60" i="97"/>
  <c r="G24" i="97"/>
  <c r="S72" i="97"/>
  <c r="R53" i="97"/>
  <c r="D28" i="11"/>
  <c r="G71" i="83"/>
  <c r="F51" i="83"/>
  <c r="F47" i="83" s="1"/>
  <c r="F60" i="83" s="1"/>
  <c r="D62" i="83"/>
  <c r="D39" i="83"/>
  <c r="R72" i="78"/>
  <c r="Q53" i="78"/>
  <c r="E39" i="83"/>
  <c r="E62" i="83"/>
  <c r="C22" i="18"/>
  <c r="G71" i="82"/>
  <c r="F51" i="82"/>
  <c r="F47" i="82" s="1"/>
  <c r="F60" i="82" s="1"/>
  <c r="F39" i="82" s="1"/>
  <c r="C6" i="18"/>
  <c r="G71" i="78"/>
  <c r="F51" i="78"/>
  <c r="F47" i="78" s="1"/>
  <c r="F60" i="78" s="1"/>
  <c r="F39" i="78" s="1"/>
  <c r="U49" i="78"/>
  <c r="E61" i="11"/>
  <c r="E57" i="11"/>
  <c r="E56" i="11"/>
  <c r="E63" i="11"/>
  <c r="E62" i="11"/>
  <c r="E59" i="11"/>
  <c r="E60" i="11"/>
  <c r="J8" i="13"/>
  <c r="E8" i="13"/>
  <c r="K9" i="13"/>
  <c r="S53" i="97" l="1"/>
  <c r="T72" i="97"/>
  <c r="D39" i="97"/>
  <c r="D62" i="97"/>
  <c r="E39" i="97"/>
  <c r="E62" i="97"/>
  <c r="G71" i="97"/>
  <c r="F51" i="97"/>
  <c r="F47" i="97" s="1"/>
  <c r="F60" i="97" s="1"/>
  <c r="R53" i="78"/>
  <c r="S72" i="78"/>
  <c r="H71" i="83"/>
  <c r="H51" i="83" s="1"/>
  <c r="H47" i="83" s="1"/>
  <c r="H60" i="83" s="1"/>
  <c r="G51" i="83"/>
  <c r="G47" i="83" s="1"/>
  <c r="G60" i="83" s="1"/>
  <c r="F62" i="83"/>
  <c r="F39" i="83"/>
  <c r="H71" i="82"/>
  <c r="G51" i="82"/>
  <c r="G47" i="82" s="1"/>
  <c r="G60" i="82" s="1"/>
  <c r="G39" i="82" s="1"/>
  <c r="H71" i="78"/>
  <c r="G51" i="78"/>
  <c r="G47" i="78" s="1"/>
  <c r="G60" i="78" s="1"/>
  <c r="G39" i="78" s="1"/>
  <c r="E63" i="83"/>
  <c r="E40" i="83" s="1"/>
  <c r="E41" i="83" s="1"/>
  <c r="E43" i="83" s="1"/>
  <c r="D63" i="83"/>
  <c r="D40" i="83" s="1"/>
  <c r="D41" i="83" s="1"/>
  <c r="W49" i="78"/>
  <c r="V49" i="78"/>
  <c r="H11" i="11"/>
  <c r="H12" i="11"/>
  <c r="E9" i="13"/>
  <c r="J9" i="13"/>
  <c r="K10" i="13"/>
  <c r="T53" i="97" l="1"/>
  <c r="U72" i="97"/>
  <c r="F39" i="97"/>
  <c r="F62" i="97"/>
  <c r="D63" i="97"/>
  <c r="D40" i="97" s="1"/>
  <c r="D41" i="97" s="1"/>
  <c r="D64" i="97"/>
  <c r="D66" i="97" s="1"/>
  <c r="H71" i="97"/>
  <c r="G51" i="97"/>
  <c r="G47" i="97" s="1"/>
  <c r="G60" i="97" s="1"/>
  <c r="E63" i="97"/>
  <c r="E40" i="97" s="1"/>
  <c r="E41" i="97" s="1"/>
  <c r="E43" i="97" s="1"/>
  <c r="E64" i="97"/>
  <c r="E66" i="97" s="1"/>
  <c r="T72" i="78"/>
  <c r="S53" i="78"/>
  <c r="D42" i="83"/>
  <c r="E42" i="83" s="1"/>
  <c r="D43" i="83"/>
  <c r="D44" i="83" s="1"/>
  <c r="F63" i="83"/>
  <c r="F40" i="83" s="1"/>
  <c r="F41" i="83" s="1"/>
  <c r="F43" i="83" s="1"/>
  <c r="G62" i="83"/>
  <c r="G39" i="83"/>
  <c r="D64" i="83"/>
  <c r="D66" i="83" s="1"/>
  <c r="H39" i="83"/>
  <c r="H62" i="83"/>
  <c r="I71" i="82"/>
  <c r="J71" i="82" s="1"/>
  <c r="K71" i="82" s="1"/>
  <c r="H51" i="82"/>
  <c r="H47" i="82" s="1"/>
  <c r="H60" i="82" s="1"/>
  <c r="H39" i="82" s="1"/>
  <c r="E64" i="83"/>
  <c r="E66" i="83" s="1"/>
  <c r="I71" i="78"/>
  <c r="H51" i="78"/>
  <c r="H47" i="78" s="1"/>
  <c r="H60" i="78" s="1"/>
  <c r="H39" i="78" s="1"/>
  <c r="D65" i="82"/>
  <c r="G61" i="82"/>
  <c r="G62" i="82" s="1"/>
  <c r="E65" i="82"/>
  <c r="H61" i="82"/>
  <c r="G65" i="82"/>
  <c r="H65" i="82"/>
  <c r="F65" i="82"/>
  <c r="D61" i="82"/>
  <c r="D62" i="82" s="1"/>
  <c r="E61" i="82"/>
  <c r="E62" i="82" s="1"/>
  <c r="F61" i="82"/>
  <c r="F62" i="82" s="1"/>
  <c r="H13" i="11"/>
  <c r="J10" i="13"/>
  <c r="E10" i="13"/>
  <c r="K11" i="13"/>
  <c r="I71" i="97" l="1"/>
  <c r="H51" i="97"/>
  <c r="H47" i="97" s="1"/>
  <c r="H60" i="97" s="1"/>
  <c r="G62" i="97"/>
  <c r="G39" i="97"/>
  <c r="D43" i="97"/>
  <c r="D44" i="97" s="1"/>
  <c r="D42" i="97"/>
  <c r="E42" i="97" s="1"/>
  <c r="F42" i="97" s="1"/>
  <c r="F63" i="97"/>
  <c r="F40" i="97" s="1"/>
  <c r="F41" i="97" s="1"/>
  <c r="F43" i="97" s="1"/>
  <c r="F64" i="97"/>
  <c r="F66" i="97" s="1"/>
  <c r="V72" i="97"/>
  <c r="U53" i="97"/>
  <c r="E44" i="97"/>
  <c r="F44" i="97" s="1"/>
  <c r="U72" i="78"/>
  <c r="T53" i="78"/>
  <c r="G63" i="83"/>
  <c r="G40" i="83" s="1"/>
  <c r="G41" i="83" s="1"/>
  <c r="H62" i="82"/>
  <c r="H63" i="82" s="1"/>
  <c r="H40" i="82" s="1"/>
  <c r="H41" i="82" s="1"/>
  <c r="H43" i="82" s="1"/>
  <c r="J71" i="78"/>
  <c r="I51" i="78"/>
  <c r="I47" i="78" s="1"/>
  <c r="I60" i="78" s="1"/>
  <c r="I39" i="78" s="1"/>
  <c r="F64" i="83"/>
  <c r="F66" i="83" s="1"/>
  <c r="H63" i="83"/>
  <c r="H40" i="83" s="1"/>
  <c r="H41" i="83" s="1"/>
  <c r="H43" i="83" s="1"/>
  <c r="E44" i="83"/>
  <c r="F44" i="83" s="1"/>
  <c r="F42" i="83"/>
  <c r="F63" i="82"/>
  <c r="F40" i="82" s="1"/>
  <c r="F41" i="82" s="1"/>
  <c r="F43" i="82" s="1"/>
  <c r="E63" i="82"/>
  <c r="E40" i="82" s="1"/>
  <c r="E41" i="82" s="1"/>
  <c r="E43" i="82" s="1"/>
  <c r="D63" i="82"/>
  <c r="D40" i="82" s="1"/>
  <c r="D41" i="82" s="1"/>
  <c r="G63" i="82"/>
  <c r="G40" i="82" s="1"/>
  <c r="G41" i="82" s="1"/>
  <c r="G43" i="82" s="1"/>
  <c r="C42" i="82"/>
  <c r="C43" i="82"/>
  <c r="C44" i="82" s="1"/>
  <c r="H14" i="11"/>
  <c r="J11" i="13"/>
  <c r="E11" i="13"/>
  <c r="K12" i="13"/>
  <c r="W72" i="97" l="1"/>
  <c r="V53" i="97"/>
  <c r="G63" i="97"/>
  <c r="G40" i="97" s="1"/>
  <c r="G41" i="97" s="1"/>
  <c r="G64" i="97"/>
  <c r="G66" i="97" s="1"/>
  <c r="H62" i="97"/>
  <c r="H39" i="97"/>
  <c r="J71" i="97"/>
  <c r="I51" i="97"/>
  <c r="I47" i="97" s="1"/>
  <c r="I60" i="97" s="1"/>
  <c r="D43" i="82"/>
  <c r="D44" i="82" s="1"/>
  <c r="E44" i="82" s="1"/>
  <c r="F44" i="82" s="1"/>
  <c r="G44" i="82" s="1"/>
  <c r="H44" i="82" s="1"/>
  <c r="I44" i="82" s="1"/>
  <c r="J44" i="82" s="1"/>
  <c r="K44" i="82" s="1"/>
  <c r="L44" i="82" s="1"/>
  <c r="M44" i="82" s="1"/>
  <c r="G21" i="82"/>
  <c r="G22" i="83"/>
  <c r="F6" i="94" s="1"/>
  <c r="V72" i="78"/>
  <c r="U53" i="78"/>
  <c r="E64" i="82"/>
  <c r="E66" i="82" s="1"/>
  <c r="F64" i="82"/>
  <c r="F66" i="82" s="1"/>
  <c r="G64" i="82"/>
  <c r="G66" i="82" s="1"/>
  <c r="D64" i="82"/>
  <c r="D66" i="82" s="1"/>
  <c r="H64" i="82"/>
  <c r="H66" i="82" s="1"/>
  <c r="G21" i="83"/>
  <c r="F5" i="94" s="1"/>
  <c r="H64" i="83"/>
  <c r="H66" i="83" s="1"/>
  <c r="D42" i="82"/>
  <c r="E42" i="82" s="1"/>
  <c r="F42" i="82" s="1"/>
  <c r="G42" i="82" s="1"/>
  <c r="H42" i="82" s="1"/>
  <c r="I42" i="82" s="1"/>
  <c r="J42" i="82" s="1"/>
  <c r="K42" i="82" s="1"/>
  <c r="L42" i="82" s="1"/>
  <c r="M42" i="82" s="1"/>
  <c r="K71" i="78"/>
  <c r="J51" i="78"/>
  <c r="J47" i="78" s="1"/>
  <c r="J60" i="78" s="1"/>
  <c r="J39" i="78" s="1"/>
  <c r="G42" i="83"/>
  <c r="H42" i="83" s="1"/>
  <c r="G43" i="83"/>
  <c r="G44" i="83" s="1"/>
  <c r="G64" i="83"/>
  <c r="G66" i="83" s="1"/>
  <c r="I17" i="11"/>
  <c r="J12" i="13"/>
  <c r="E12" i="13"/>
  <c r="K13" i="13"/>
  <c r="G43" i="97" l="1"/>
  <c r="G44" i="97" s="1"/>
  <c r="K71" i="97"/>
  <c r="J51" i="97"/>
  <c r="J47" i="97" s="1"/>
  <c r="J60" i="97" s="1"/>
  <c r="H63" i="97"/>
  <c r="H40" i="97" s="1"/>
  <c r="H41" i="97" s="1"/>
  <c r="H43" i="97" s="1"/>
  <c r="H44" i="97" s="1"/>
  <c r="H64" i="97"/>
  <c r="H66" i="97" s="1"/>
  <c r="X72" i="97"/>
  <c r="W53" i="97"/>
  <c r="I62" i="97"/>
  <c r="I39" i="97"/>
  <c r="G42" i="97"/>
  <c r="W72" i="78"/>
  <c r="V53" i="78"/>
  <c r="H44" i="83"/>
  <c r="G23" i="83" s="1"/>
  <c r="F7" i="94" s="1"/>
  <c r="L71" i="78"/>
  <c r="K51" i="78"/>
  <c r="K47" i="78" s="1"/>
  <c r="K60" i="78" s="1"/>
  <c r="K39" i="78" s="1"/>
  <c r="C5" i="18"/>
  <c r="C2" i="18" s="1"/>
  <c r="I16" i="11"/>
  <c r="H15" i="11"/>
  <c r="J13" i="13"/>
  <c r="E13" i="13"/>
  <c r="D17" i="13"/>
  <c r="K14" i="13"/>
  <c r="I63" i="97" l="1"/>
  <c r="I40" i="97" s="1"/>
  <c r="I41" i="97" s="1"/>
  <c r="I43" i="97" s="1"/>
  <c r="I44" i="97" s="1"/>
  <c r="I64" i="97"/>
  <c r="I66" i="97" s="1"/>
  <c r="Y72" i="97"/>
  <c r="X53" i="97"/>
  <c r="J39" i="97"/>
  <c r="J62" i="97"/>
  <c r="W53" i="78"/>
  <c r="X72" i="78"/>
  <c r="H42" i="97"/>
  <c r="I42" i="97" s="1"/>
  <c r="L71" i="97"/>
  <c r="K51" i="97"/>
  <c r="K47" i="97" s="1"/>
  <c r="K60" i="97" s="1"/>
  <c r="M71" i="78"/>
  <c r="L51" i="78"/>
  <c r="L47" i="78" s="1"/>
  <c r="L60" i="78" s="1"/>
  <c r="L39" i="78" s="1"/>
  <c r="H16" i="11"/>
  <c r="H17" i="11"/>
  <c r="E14" i="13"/>
  <c r="J14" i="13"/>
  <c r="C17" i="13"/>
  <c r="K15" i="13"/>
  <c r="K16" i="13" s="1"/>
  <c r="D16" i="13"/>
  <c r="J63" i="97" l="1"/>
  <c r="J40" i="97" s="1"/>
  <c r="J41" i="97" s="1"/>
  <c r="J43" i="97" s="1"/>
  <c r="J44" i="97" s="1"/>
  <c r="K39" i="97"/>
  <c r="K62" i="97"/>
  <c r="L51" i="97"/>
  <c r="L47" i="97" s="1"/>
  <c r="L60" i="97" s="1"/>
  <c r="M71" i="97"/>
  <c r="Y53" i="97"/>
  <c r="Z72" i="97"/>
  <c r="Y72" i="78"/>
  <c r="X53" i="78"/>
  <c r="N71" i="78"/>
  <c r="M51" i="78"/>
  <c r="M47" i="78" s="1"/>
  <c r="M60" i="78" s="1"/>
  <c r="M39" i="78" s="1"/>
  <c r="E15" i="13"/>
  <c r="E17" i="13" s="1"/>
  <c r="J15" i="13"/>
  <c r="C16" i="13"/>
  <c r="J64" i="97" l="1"/>
  <c r="J66" i="97" s="1"/>
  <c r="J42" i="97"/>
  <c r="N71" i="97"/>
  <c r="M51" i="97"/>
  <c r="M47" i="97" s="1"/>
  <c r="M60" i="97" s="1"/>
  <c r="L39" i="97"/>
  <c r="L62" i="97"/>
  <c r="K63" i="97"/>
  <c r="K40" i="97" s="1"/>
  <c r="K41" i="97" s="1"/>
  <c r="K43" i="97" s="1"/>
  <c r="K44" i="97" s="1"/>
  <c r="K64" i="97"/>
  <c r="K66" i="97" s="1"/>
  <c r="Z72" i="78"/>
  <c r="Y53" i="78"/>
  <c r="Z53" i="97"/>
  <c r="AA72" i="97"/>
  <c r="O71" i="78"/>
  <c r="N51" i="78"/>
  <c r="N47" i="78" s="1"/>
  <c r="N60" i="78" s="1"/>
  <c r="N39" i="78" s="1"/>
  <c r="E16" i="13"/>
  <c r="E20" i="13" s="1"/>
  <c r="J16" i="13"/>
  <c r="L63" i="97" l="1"/>
  <c r="L40" i="97" s="1"/>
  <c r="L41" i="97" s="1"/>
  <c r="L64" i="97"/>
  <c r="L66" i="97" s="1"/>
  <c r="AA53" i="97"/>
  <c r="AB72" i="97"/>
  <c r="AB53" i="97" s="1"/>
  <c r="M62" i="97"/>
  <c r="M39" i="97"/>
  <c r="O71" i="97"/>
  <c r="N51" i="97"/>
  <c r="N47" i="97" s="1"/>
  <c r="N60" i="97" s="1"/>
  <c r="AA72" i="78"/>
  <c r="Z53" i="78"/>
  <c r="K42" i="97"/>
  <c r="L42" i="97" s="1"/>
  <c r="P71" i="78"/>
  <c r="O51" i="78"/>
  <c r="O47" i="78" s="1"/>
  <c r="O60" i="78" s="1"/>
  <c r="O39" i="78" s="1"/>
  <c r="C18" i="17"/>
  <c r="D20" i="13"/>
  <c r="D21" i="13" s="1"/>
  <c r="E21" i="13"/>
  <c r="L43" i="97" l="1"/>
  <c r="L44" i="97" s="1"/>
  <c r="P71" i="97"/>
  <c r="O51" i="97"/>
  <c r="O47" i="97" s="1"/>
  <c r="O60" i="97" s="1"/>
  <c r="M63" i="97"/>
  <c r="M40" i="97" s="1"/>
  <c r="M41" i="97" s="1"/>
  <c r="M43" i="97" s="1"/>
  <c r="M44" i="97" s="1"/>
  <c r="AB72" i="78"/>
  <c r="AB53" i="78" s="1"/>
  <c r="AA53" i="78"/>
  <c r="N62" i="97"/>
  <c r="N39" i="97"/>
  <c r="C12" i="18"/>
  <c r="C10" i="18" s="1"/>
  <c r="Q71" i="78"/>
  <c r="P51" i="78"/>
  <c r="P47" i="78" s="1"/>
  <c r="P60" i="78" s="1"/>
  <c r="P39" i="78" s="1"/>
  <c r="N63" i="97" l="1"/>
  <c r="N40" i="97" s="1"/>
  <c r="N41" i="97" s="1"/>
  <c r="N43" i="97" s="1"/>
  <c r="N44" i="97" s="1"/>
  <c r="N64" i="97"/>
  <c r="N66" i="97" s="1"/>
  <c r="M64" i="97"/>
  <c r="M66" i="97" s="1"/>
  <c r="M42" i="97"/>
  <c r="N42" i="97" s="1"/>
  <c r="O62" i="97"/>
  <c r="O39" i="97"/>
  <c r="Q71" i="97"/>
  <c r="P51" i="97"/>
  <c r="P47" i="97" s="1"/>
  <c r="P60" i="97" s="1"/>
  <c r="R71" i="78"/>
  <c r="Q51" i="78"/>
  <c r="Q47" i="78" s="1"/>
  <c r="Q60" i="78" s="1"/>
  <c r="Q39" i="78" s="1"/>
  <c r="C23" i="18"/>
  <c r="C14" i="18"/>
  <c r="P62" i="97" l="1"/>
  <c r="P39" i="97"/>
  <c r="O63" i="97"/>
  <c r="O40" i="97" s="1"/>
  <c r="O41" i="97" s="1"/>
  <c r="O43" i="97" s="1"/>
  <c r="O44" i="97" s="1"/>
  <c r="O64" i="97"/>
  <c r="O66" i="97" s="1"/>
  <c r="Q51" i="97"/>
  <c r="Q47" i="97" s="1"/>
  <c r="Q60" i="97" s="1"/>
  <c r="R71" i="97"/>
  <c r="R51" i="78"/>
  <c r="R47" i="78" s="1"/>
  <c r="R60" i="78" s="1"/>
  <c r="R39" i="78" s="1"/>
  <c r="S71" i="78"/>
  <c r="C11" i="18"/>
  <c r="C20" i="18"/>
  <c r="C15" i="18"/>
  <c r="C7" i="18"/>
  <c r="C3" i="18"/>
  <c r="O42" i="97" l="1"/>
  <c r="Q62" i="97"/>
  <c r="Q39" i="97"/>
  <c r="R51" i="97"/>
  <c r="R47" i="97" s="1"/>
  <c r="R60" i="97" s="1"/>
  <c r="S71" i="97"/>
  <c r="P63" i="97"/>
  <c r="P40" i="97" s="1"/>
  <c r="P41" i="97" s="1"/>
  <c r="P43" i="97" s="1"/>
  <c r="P44" i="97" s="1"/>
  <c r="T71" i="78"/>
  <c r="S51" i="78"/>
  <c r="S47" i="78" s="1"/>
  <c r="S60" i="78" s="1"/>
  <c r="C16" i="18"/>
  <c r="P64" i="97" l="1"/>
  <c r="P66" i="97" s="1"/>
  <c r="S51" i="97"/>
  <c r="S47" i="97" s="1"/>
  <c r="S60" i="97" s="1"/>
  <c r="T71" i="97"/>
  <c r="R39" i="97"/>
  <c r="R62" i="97"/>
  <c r="P42" i="97"/>
  <c r="Q63" i="97"/>
  <c r="Q40" i="97" s="1"/>
  <c r="Q41" i="97" s="1"/>
  <c r="Q43" i="97" s="1"/>
  <c r="Q44" i="97" s="1"/>
  <c r="S39" i="78"/>
  <c r="U71" i="78"/>
  <c r="T51" i="78"/>
  <c r="T47" i="78" s="1"/>
  <c r="T60" i="78" s="1"/>
  <c r="E19" i="12"/>
  <c r="E50" i="12"/>
  <c r="D19" i="12"/>
  <c r="D21" i="12" s="1"/>
  <c r="E21" i="12"/>
  <c r="J18" i="12" s="1"/>
  <c r="Q64" i="97" l="1"/>
  <c r="Q66" i="97" s="1"/>
  <c r="Q42" i="97"/>
  <c r="R63" i="97"/>
  <c r="R40" i="97" s="1"/>
  <c r="R41" i="97" s="1"/>
  <c r="R43" i="97" s="1"/>
  <c r="R44" i="97" s="1"/>
  <c r="R64" i="97"/>
  <c r="R66" i="97" s="1"/>
  <c r="T51" i="97"/>
  <c r="T47" i="97" s="1"/>
  <c r="T60" i="97" s="1"/>
  <c r="U71" i="97"/>
  <c r="S62" i="97"/>
  <c r="S39" i="97"/>
  <c r="T39" i="78"/>
  <c r="V71" i="78"/>
  <c r="U51" i="78"/>
  <c r="U47" i="78" s="1"/>
  <c r="U60" i="78" s="1"/>
  <c r="E51" i="12"/>
  <c r="D49" i="12" s="1"/>
  <c r="S63" i="97" l="1"/>
  <c r="S40" i="97" s="1"/>
  <c r="S41" i="97" s="1"/>
  <c r="S43" i="97" s="1"/>
  <c r="S44" i="97" s="1"/>
  <c r="S64" i="97"/>
  <c r="S66" i="97" s="1"/>
  <c r="V71" i="97"/>
  <c r="U51" i="97"/>
  <c r="U47" i="97" s="1"/>
  <c r="U60" i="97" s="1"/>
  <c r="T62" i="97"/>
  <c r="T39" i="97"/>
  <c r="R42" i="97"/>
  <c r="S42" i="97" s="1"/>
  <c r="U39" i="78"/>
  <c r="W71" i="78"/>
  <c r="V51" i="78"/>
  <c r="V47" i="78" s="1"/>
  <c r="V60" i="78" s="1"/>
  <c r="C38" i="78"/>
  <c r="F49" i="12"/>
  <c r="D50" i="12"/>
  <c r="F50" i="12" s="1"/>
  <c r="F61" i="78"/>
  <c r="F62" i="78" s="1"/>
  <c r="T63" i="97" l="1"/>
  <c r="T40" i="97" s="1"/>
  <c r="T41" i="97" s="1"/>
  <c r="U62" i="97"/>
  <c r="U39" i="97"/>
  <c r="W71" i="97"/>
  <c r="V51" i="97"/>
  <c r="V47" i="97" s="1"/>
  <c r="V60" i="97" s="1"/>
  <c r="W51" i="78"/>
  <c r="W47" i="78" s="1"/>
  <c r="W60" i="78" s="1"/>
  <c r="W39" i="78" s="1"/>
  <c r="X71" i="78"/>
  <c r="D65" i="78"/>
  <c r="AB65" i="78"/>
  <c r="X61" i="78"/>
  <c r="Y61" i="78"/>
  <c r="X65" i="78"/>
  <c r="Z61" i="78"/>
  <c r="Y65" i="78"/>
  <c r="AA61" i="78"/>
  <c r="Z65" i="78"/>
  <c r="AB61" i="78"/>
  <c r="AA65" i="78"/>
  <c r="W61" i="78"/>
  <c r="V61" i="78"/>
  <c r="V62" i="78" s="1"/>
  <c r="W65" i="78"/>
  <c r="U61" i="78"/>
  <c r="U62" i="78" s="1"/>
  <c r="U63" i="78" s="1"/>
  <c r="U40" i="78" s="1"/>
  <c r="U41" i="78" s="1"/>
  <c r="U43" i="78" s="1"/>
  <c r="V65" i="78"/>
  <c r="T61" i="78"/>
  <c r="T62" i="78" s="1"/>
  <c r="T63" i="78" s="1"/>
  <c r="T40" i="78" s="1"/>
  <c r="T41" i="78" s="1"/>
  <c r="T43" i="78" s="1"/>
  <c r="U65" i="78"/>
  <c r="S61" i="78"/>
  <c r="S62" i="78" s="1"/>
  <c r="T65" i="78"/>
  <c r="S65" i="78"/>
  <c r="W62" i="78"/>
  <c r="V39" i="78"/>
  <c r="E65" i="78"/>
  <c r="C41" i="78"/>
  <c r="D61" i="78"/>
  <c r="D62" i="78" s="1"/>
  <c r="D63" i="78" s="1"/>
  <c r="D40" i="78" s="1"/>
  <c r="D41" i="78" s="1"/>
  <c r="E61" i="78"/>
  <c r="E62" i="78" s="1"/>
  <c r="E63" i="78" s="1"/>
  <c r="E40" i="78" s="1"/>
  <c r="E41" i="78" s="1"/>
  <c r="F65" i="78"/>
  <c r="P61" i="78"/>
  <c r="P62" i="78" s="1"/>
  <c r="Q61" i="78"/>
  <c r="Q62" i="78" s="1"/>
  <c r="P65" i="78"/>
  <c r="R65" i="78"/>
  <c r="Q65" i="78"/>
  <c r="R61" i="78"/>
  <c r="R62" i="78" s="1"/>
  <c r="N65" i="78"/>
  <c r="O65" i="78"/>
  <c r="O61" i="78"/>
  <c r="O62" i="78" s="1"/>
  <c r="N61" i="78"/>
  <c r="N62" i="78" s="1"/>
  <c r="H65" i="78"/>
  <c r="H61" i="78"/>
  <c r="H62" i="78" s="1"/>
  <c r="G65" i="78"/>
  <c r="G61" i="78"/>
  <c r="G62" i="78" s="1"/>
  <c r="M65" i="78"/>
  <c r="M61" i="78"/>
  <c r="M62" i="78" s="1"/>
  <c r="L65" i="78"/>
  <c r="L61" i="78"/>
  <c r="L62" i="78" s="1"/>
  <c r="K65" i="78"/>
  <c r="K61" i="78"/>
  <c r="K62" i="78" s="1"/>
  <c r="J61" i="78"/>
  <c r="J62" i="78" s="1"/>
  <c r="I65" i="78"/>
  <c r="I61" i="78"/>
  <c r="I62" i="78" s="1"/>
  <c r="J65" i="78"/>
  <c r="D51" i="12"/>
  <c r="F63" i="78"/>
  <c r="F40" i="78" s="1"/>
  <c r="F41" i="78" s="1"/>
  <c r="F43" i="78" s="1"/>
  <c r="T43" i="97" l="1"/>
  <c r="T44" i="97" s="1"/>
  <c r="T42" i="97"/>
  <c r="T64" i="97"/>
  <c r="T66" i="97" s="1"/>
  <c r="V62" i="97"/>
  <c r="V39" i="97"/>
  <c r="W51" i="97"/>
  <c r="W47" i="97" s="1"/>
  <c r="W60" i="97" s="1"/>
  <c r="X71" i="97"/>
  <c r="U63" i="97"/>
  <c r="U40" i="97" s="1"/>
  <c r="U41" i="97" s="1"/>
  <c r="T64" i="78"/>
  <c r="T66" i="78" s="1"/>
  <c r="X51" i="78"/>
  <c r="X47" i="78" s="1"/>
  <c r="X60" i="78" s="1"/>
  <c r="X39" i="78" s="1"/>
  <c r="Y71" i="78"/>
  <c r="S63" i="78"/>
  <c r="S40" i="78" s="1"/>
  <c r="S41" i="78" s="1"/>
  <c r="S43" i="78" s="1"/>
  <c r="C43" i="78"/>
  <c r="C44" i="78" s="1"/>
  <c r="C42" i="78"/>
  <c r="D42" i="78" s="1"/>
  <c r="E42" i="78" s="1"/>
  <c r="F42" i="78" s="1"/>
  <c r="U64" i="78"/>
  <c r="U66" i="78" s="1"/>
  <c r="V63" i="78"/>
  <c r="V40" i="78" s="1"/>
  <c r="V41" i="78" s="1"/>
  <c r="V43" i="78" s="1"/>
  <c r="W63" i="78"/>
  <c r="W40" i="78" s="1"/>
  <c r="W41" i="78" s="1"/>
  <c r="W43" i="78" s="1"/>
  <c r="R63" i="78"/>
  <c r="R40" i="78" s="1"/>
  <c r="R41" i="78" s="1"/>
  <c r="R43" i="78" s="1"/>
  <c r="Q63" i="78"/>
  <c r="Q40" i="78" s="1"/>
  <c r="Q41" i="78" s="1"/>
  <c r="Q43" i="78" s="1"/>
  <c r="P63" i="78"/>
  <c r="P40" i="78" s="1"/>
  <c r="P41" i="78" s="1"/>
  <c r="P43" i="78" s="1"/>
  <c r="E43" i="78"/>
  <c r="O63" i="78"/>
  <c r="O40" i="78" s="1"/>
  <c r="O41" i="78" s="1"/>
  <c r="O43" i="78" s="1"/>
  <c r="N63" i="78"/>
  <c r="N40" i="78" s="1"/>
  <c r="N41" i="78" s="1"/>
  <c r="N43" i="78" s="1"/>
  <c r="L63" i="78"/>
  <c r="L40" i="78" s="1"/>
  <c r="L41" i="78" s="1"/>
  <c r="L43" i="78" s="1"/>
  <c r="I63" i="78"/>
  <c r="I40" i="78" s="1"/>
  <c r="I41" i="78" s="1"/>
  <c r="I43" i="78" s="1"/>
  <c r="G63" i="78"/>
  <c r="G40" i="78" s="1"/>
  <c r="G41" i="78" s="1"/>
  <c r="G43" i="78" s="1"/>
  <c r="H63" i="78"/>
  <c r="H40" i="78" s="1"/>
  <c r="H41" i="78" s="1"/>
  <c r="H43" i="78" s="1"/>
  <c r="M63" i="78"/>
  <c r="M40" i="78" s="1"/>
  <c r="M41" i="78" s="1"/>
  <c r="M43" i="78" s="1"/>
  <c r="J63" i="78"/>
  <c r="J40" i="78" s="1"/>
  <c r="J41" i="78" s="1"/>
  <c r="J43" i="78" s="1"/>
  <c r="K63" i="78"/>
  <c r="K40" i="78" s="1"/>
  <c r="K41" i="78" s="1"/>
  <c r="K43" i="78" s="1"/>
  <c r="F64" i="78"/>
  <c r="F66" i="78" s="1"/>
  <c r="D43" i="78"/>
  <c r="D64" i="78"/>
  <c r="D66" i="78" s="1"/>
  <c r="E64" i="78"/>
  <c r="E66" i="78" s="1"/>
  <c r="U43" i="97" l="1"/>
  <c r="U44" i="97" s="1"/>
  <c r="U42" i="97"/>
  <c r="X62" i="78"/>
  <c r="X63" i="78" s="1"/>
  <c r="X40" i="78" s="1"/>
  <c r="X41" i="78" s="1"/>
  <c r="X43" i="78" s="1"/>
  <c r="Y51" i="78"/>
  <c r="Y47" i="78" s="1"/>
  <c r="Y60" i="78" s="1"/>
  <c r="Z71" i="78"/>
  <c r="Y71" i="97"/>
  <c r="X51" i="97"/>
  <c r="X47" i="97" s="1"/>
  <c r="X60" i="97" s="1"/>
  <c r="W62" i="97"/>
  <c r="W39" i="97"/>
  <c r="V63" i="97"/>
  <c r="V40" i="97" s="1"/>
  <c r="V41" i="97" s="1"/>
  <c r="V43" i="97" s="1"/>
  <c r="V44" i="97" s="1"/>
  <c r="V64" i="97"/>
  <c r="V66" i="97" s="1"/>
  <c r="U64" i="97"/>
  <c r="U66" i="97" s="1"/>
  <c r="S64" i="78"/>
  <c r="S66" i="78" s="1"/>
  <c r="D44" i="78"/>
  <c r="E44" i="78" s="1"/>
  <c r="V64" i="78"/>
  <c r="V66" i="78" s="1"/>
  <c r="W64" i="78"/>
  <c r="W66" i="78" s="1"/>
  <c r="R64" i="78"/>
  <c r="R66" i="78" s="1"/>
  <c r="Q64" i="78"/>
  <c r="Q66" i="78" s="1"/>
  <c r="N64" i="78"/>
  <c r="N66" i="78" s="1"/>
  <c r="P64" i="78"/>
  <c r="P66" i="78" s="1"/>
  <c r="O64" i="78"/>
  <c r="O66" i="78" s="1"/>
  <c r="L64" i="78"/>
  <c r="L66" i="78" s="1"/>
  <c r="H64" i="78"/>
  <c r="H66" i="78" s="1"/>
  <c r="G42" i="78"/>
  <c r="H42" i="78" s="1"/>
  <c r="I42" i="78" s="1"/>
  <c r="J42" i="78" s="1"/>
  <c r="K42" i="78" s="1"/>
  <c r="L42" i="78" s="1"/>
  <c r="M42" i="78" s="1"/>
  <c r="N42" i="78" s="1"/>
  <c r="O42" i="78" s="1"/>
  <c r="P42" i="78" s="1"/>
  <c r="Q42" i="78" s="1"/>
  <c r="R42" i="78" s="1"/>
  <c r="S42" i="78" s="1"/>
  <c r="T42" i="78" s="1"/>
  <c r="U42" i="78" s="1"/>
  <c r="V42" i="78" s="1"/>
  <c r="W42" i="78" s="1"/>
  <c r="X42" i="78" s="1"/>
  <c r="K64" i="78"/>
  <c r="K66" i="78" s="1"/>
  <c r="G64" i="78"/>
  <c r="G66" i="78" s="1"/>
  <c r="J64" i="78"/>
  <c r="J66" i="78" s="1"/>
  <c r="I64" i="78"/>
  <c r="I66" i="78" s="1"/>
  <c r="M64" i="78"/>
  <c r="M66" i="78" s="1"/>
  <c r="X64" i="78" l="1"/>
  <c r="X66" i="78" s="1"/>
  <c r="X62" i="97"/>
  <c r="X39" i="97"/>
  <c r="Y51" i="97"/>
  <c r="Y47" i="97" s="1"/>
  <c r="Y60" i="97" s="1"/>
  <c r="Z71" i="97"/>
  <c r="Z51" i="78"/>
  <c r="Z47" i="78" s="1"/>
  <c r="Z60" i="78" s="1"/>
  <c r="AA71" i="78"/>
  <c r="Y39" i="78"/>
  <c r="Y62" i="78"/>
  <c r="V42" i="97"/>
  <c r="W63" i="97"/>
  <c r="W40" i="97" s="1"/>
  <c r="W41" i="97" s="1"/>
  <c r="W43" i="97" s="1"/>
  <c r="W44" i="97" s="1"/>
  <c r="W64" i="97"/>
  <c r="W66" i="97" s="1"/>
  <c r="F44" i="78"/>
  <c r="G44" i="78" s="1"/>
  <c r="H44" i="78" s="1"/>
  <c r="I44" i="78" s="1"/>
  <c r="J44" i="78" s="1"/>
  <c r="K44" i="78" s="1"/>
  <c r="L44" i="78" s="1"/>
  <c r="M44" i="78" s="1"/>
  <c r="N44" i="78" s="1"/>
  <c r="O44" i="78" s="1"/>
  <c r="P44" i="78" s="1"/>
  <c r="Q44" i="78" s="1"/>
  <c r="R44" i="78" s="1"/>
  <c r="S44" i="78" s="1"/>
  <c r="T44" i="78" s="1"/>
  <c r="U44" i="78" s="1"/>
  <c r="V44" i="78" s="1"/>
  <c r="W44" i="78" s="1"/>
  <c r="X44" i="78" s="1"/>
  <c r="W42" i="97" l="1"/>
  <c r="Z39" i="78"/>
  <c r="Z62" i="78"/>
  <c r="AB71" i="78"/>
  <c r="AB51" i="78" s="1"/>
  <c r="AB47" i="78" s="1"/>
  <c r="AB60" i="78" s="1"/>
  <c r="AA51" i="78"/>
  <c r="AA47" i="78" s="1"/>
  <c r="AA60" i="78" s="1"/>
  <c r="Z51" i="97"/>
  <c r="Z47" i="97" s="1"/>
  <c r="Z60" i="97" s="1"/>
  <c r="AA71" i="97"/>
  <c r="Y39" i="97"/>
  <c r="Y62" i="97"/>
  <c r="X63" i="97"/>
  <c r="X40" i="97" s="1"/>
  <c r="X41" i="97" s="1"/>
  <c r="X43" i="97" s="1"/>
  <c r="X44" i="97" s="1"/>
  <c r="X64" i="97"/>
  <c r="X66" i="97" s="1"/>
  <c r="X42" i="97"/>
  <c r="Y63" i="78"/>
  <c r="Y40" i="78" s="1"/>
  <c r="Y41" i="78" s="1"/>
  <c r="Y64" i="78" l="1"/>
  <c r="Y66" i="78" s="1"/>
  <c r="Z62" i="97"/>
  <c r="Z39" i="97"/>
  <c r="Y43" i="78"/>
  <c r="Y44" i="78" s="1"/>
  <c r="Y42" i="78"/>
  <c r="Z42" i="78" s="1"/>
  <c r="AA51" i="97"/>
  <c r="AA47" i="97" s="1"/>
  <c r="AA60" i="97" s="1"/>
  <c r="AB71" i="97"/>
  <c r="AB51" i="97" s="1"/>
  <c r="AB47" i="97" s="1"/>
  <c r="AB60" i="97" s="1"/>
  <c r="AA39" i="78"/>
  <c r="AA62" i="78"/>
  <c r="Z63" i="78"/>
  <c r="Z40" i="78" s="1"/>
  <c r="Z41" i="78" s="1"/>
  <c r="Z43" i="78" s="1"/>
  <c r="AB39" i="78"/>
  <c r="AB62" i="78"/>
  <c r="Y63" i="97"/>
  <c r="Y40" i="97" s="1"/>
  <c r="Y41" i="97" s="1"/>
  <c r="Y43" i="97" s="1"/>
  <c r="Y44" i="97" s="1"/>
  <c r="G23" i="82"/>
  <c r="Z64" i="78" l="1"/>
  <c r="Z66" i="78" s="1"/>
  <c r="Z44" i="78"/>
  <c r="AB62" i="97"/>
  <c r="AB39" i="97"/>
  <c r="Y64" i="97"/>
  <c r="Y66" i="97" s="1"/>
  <c r="AA39" i="97"/>
  <c r="AA62" i="97"/>
  <c r="Y42" i="97"/>
  <c r="AB63" i="78"/>
  <c r="AB40" i="78" s="1"/>
  <c r="AB41" i="78" s="1"/>
  <c r="AB43" i="78" s="1"/>
  <c r="AA63" i="78"/>
  <c r="AA40" i="78" s="1"/>
  <c r="AA41" i="78" s="1"/>
  <c r="AA43" i="78" s="1"/>
  <c r="AA44" i="78" s="1"/>
  <c r="AA64" i="78"/>
  <c r="AA66" i="78" s="1"/>
  <c r="Z63" i="97"/>
  <c r="Z40" i="97" s="1"/>
  <c r="Z41" i="97" s="1"/>
  <c r="Z43" i="97" s="1"/>
  <c r="Z44" i="97" s="1"/>
  <c r="AB44" i="78" l="1"/>
  <c r="AB64" i="78"/>
  <c r="AB66" i="78" s="1"/>
  <c r="G21" i="78"/>
  <c r="O5" i="94" s="1"/>
  <c r="G22" i="78"/>
  <c r="O6" i="94" s="1"/>
  <c r="G23" i="78"/>
  <c r="O7" i="94" s="1"/>
  <c r="Z42" i="97"/>
  <c r="AA42" i="97" s="1"/>
  <c r="Z64" i="97"/>
  <c r="Z66" i="97" s="1"/>
  <c r="AA63" i="97"/>
  <c r="AA40" i="97" s="1"/>
  <c r="AA41" i="97" s="1"/>
  <c r="AA43" i="97" s="1"/>
  <c r="AA44" i="97" s="1"/>
  <c r="AA42" i="78"/>
  <c r="AB42" i="78" s="1"/>
  <c r="AB63" i="97"/>
  <c r="AB40" i="97" s="1"/>
  <c r="AB41" i="97" s="1"/>
  <c r="AB64" i="97"/>
  <c r="AB66" i="97" s="1"/>
  <c r="AA64" i="97" l="1"/>
  <c r="AA66" i="97" s="1"/>
  <c r="AB43" i="97"/>
  <c r="AB44" i="97" s="1"/>
  <c r="G22" i="97"/>
  <c r="G21" i="97"/>
  <c r="AB42" i="97"/>
  <c r="G23" i="97" l="1"/>
</calcChain>
</file>

<file path=xl/comments1.xml><?xml version="1.0" encoding="utf-8"?>
<comments xmlns="http://schemas.openxmlformats.org/spreadsheetml/2006/main">
  <authors>
    <author>Oscar Cantillo</author>
  </authors>
  <commentList>
    <comment ref="E19" authorId="0" shapeId="0">
      <text>
        <r>
          <rPr>
            <b/>
            <sz val="9"/>
            <color indexed="81"/>
            <rFont val="Tahoma"/>
            <family val="2"/>
          </rPr>
          <t>Oscar Cantillo:</t>
        </r>
        <r>
          <rPr>
            <sz val="9"/>
            <color indexed="81"/>
            <rFont val="Tahoma"/>
            <family val="2"/>
          </rPr>
          <t xml:space="preserve">
Dato de entrada/Medido</t>
        </r>
      </text>
    </comment>
    <comment ref="E55" authorId="0" shapeId="0">
      <text>
        <r>
          <rPr>
            <b/>
            <sz val="9"/>
            <color indexed="81"/>
            <rFont val="Tahoma"/>
            <family val="2"/>
          </rPr>
          <t>Oscar Cantillo:</t>
        </r>
        <r>
          <rPr>
            <sz val="9"/>
            <color indexed="81"/>
            <rFont val="Tahoma"/>
            <family val="2"/>
          </rPr>
          <t xml:space="preserve">
Dato de entrada/Medido</t>
        </r>
      </text>
    </comment>
  </commentList>
</comments>
</file>

<file path=xl/comments2.xml><?xml version="1.0" encoding="utf-8"?>
<comments xmlns="http://schemas.openxmlformats.org/spreadsheetml/2006/main">
  <authors>
    <author>Rafael Guerra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Rafael Guerra:</t>
        </r>
        <r>
          <rPr>
            <sz val="9"/>
            <color indexed="81"/>
            <rFont val="Tahoma"/>
            <family val="2"/>
          </rPr>
          <t xml:space="preserve">
Sometimes it will be fixed by the contract. In this case, it must be respected
</t>
        </r>
      </text>
    </comment>
  </commentList>
</comments>
</file>

<file path=xl/comments3.xml><?xml version="1.0" encoding="utf-8"?>
<comments xmlns="http://schemas.openxmlformats.org/spreadsheetml/2006/main">
  <authors>
    <author>tc={60E9F19A-4ED0-481A-8805-293EAFE8AADE}</author>
    <author>tc={07E54DD3-107A-4889-BD93-46422FCA0D54}</author>
  </authors>
  <commentList>
    <comment ref="AJ33" authorId="0" shapeId="0">
      <text>
        <r>
          <rPr>
            <sz val="10"/>
            <rFont val="Arial"/>
            <family val="2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Se asume que el 60% de las personas que ingresan a las instalaciones consumen agua (principalmente baños, cocina y/o duchas)</t>
        </r>
      </text>
    </comment>
    <comment ref="BD33" authorId="1" shapeId="0">
      <text>
        <r>
          <rPr>
            <sz val="10"/>
            <rFont val="Arial"/>
            <family val="2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Teniendo en cuanto que el consumo de la cocina representa cerca del 80-98% del total, con promedio de 92% en 2023, y teniendo en cuenta un área de cocina de 408 m2 estimada, se calcula el indicador respecto a esta área de uso.</t>
        </r>
      </text>
    </comment>
  </commentList>
</comments>
</file>

<file path=xl/comments4.xml><?xml version="1.0" encoding="utf-8"?>
<comments xmlns="http://schemas.openxmlformats.org/spreadsheetml/2006/main">
  <authors>
    <author>Rafael Guerra</author>
  </authors>
  <commentList>
    <comment ref="C2" authorId="0" shapeId="0">
      <text>
        <r>
          <rPr>
            <b/>
            <sz val="8"/>
            <color indexed="81"/>
            <rFont val="Tahoma"/>
            <family val="2"/>
          </rPr>
          <t>Rafael Guerra:</t>
        </r>
        <r>
          <rPr>
            <sz val="8"/>
            <color indexed="81"/>
            <rFont val="Tahoma"/>
            <family val="2"/>
          </rPr>
          <t xml:space="preserve">
Reducción de demanda de energía y agua (REM): Aislamiento, Iluminaciòn, motores, aereadores, chillers, bombas de calor, distribucion.</t>
        </r>
      </text>
    </comment>
    <comment ref="D2" authorId="0" shapeId="0">
      <text>
        <r>
          <rPr>
            <b/>
            <sz val="8"/>
            <color indexed="81"/>
            <rFont val="Tahoma"/>
            <family val="2"/>
          </rPr>
          <t>Rafael Guerra:</t>
        </r>
        <r>
          <rPr>
            <sz val="8"/>
            <color indexed="81"/>
            <rFont val="Tahoma"/>
            <family val="2"/>
          </rPr>
          <t xml:space="preserve">
Mejora de la eficiencia energética en la transformación de energía suministrada a energía útil.(EEM)</t>
        </r>
      </text>
    </comment>
    <comment ref="E2" authorId="0" shapeId="0">
      <text>
        <r>
          <rPr>
            <b/>
            <sz val="8"/>
            <color indexed="81"/>
            <rFont val="Tahoma"/>
            <family val="2"/>
          </rPr>
          <t>Rafael Guerra:</t>
        </r>
        <r>
          <rPr>
            <sz val="8"/>
            <color indexed="81"/>
            <rFont val="Tahoma"/>
            <family val="2"/>
          </rPr>
          <t xml:space="preserve">
Generación en sitio (OGM): biomasa, cogeneracion</t>
        </r>
      </text>
    </comment>
    <comment ref="F2" authorId="0" shapeId="0">
      <text>
        <r>
          <rPr>
            <b/>
            <sz val="8"/>
            <color indexed="81"/>
            <rFont val="Tahoma"/>
            <family val="2"/>
          </rPr>
          <t>Rafael Guerra:</t>
        </r>
        <r>
          <rPr>
            <sz val="8"/>
            <color indexed="81"/>
            <rFont val="Tahoma"/>
            <family val="2"/>
          </rPr>
          <t xml:space="preserve">
Renewable generation (RGM): wind, SWH or PV</t>
        </r>
      </text>
    </comment>
    <comment ref="G2" authorId="0" shapeId="0">
      <text>
        <r>
          <rPr>
            <b/>
            <sz val="8"/>
            <color indexed="81"/>
            <rFont val="Tahoma"/>
            <family val="2"/>
          </rPr>
          <t>Rafael Guerra:</t>
        </r>
        <r>
          <rPr>
            <sz val="8"/>
            <color indexed="81"/>
            <rFont val="Tahoma"/>
            <family val="2"/>
          </rPr>
          <t xml:space="preserve">
Estrategias de cambio de combustible (FSS)</t>
        </r>
      </text>
    </comment>
    <comment ref="H2" authorId="0" shapeId="0">
      <text>
        <r>
          <rPr>
            <b/>
            <sz val="8"/>
            <color indexed="81"/>
            <rFont val="Tahoma"/>
            <family val="2"/>
          </rPr>
          <t>Rafael Guerra:</t>
        </r>
        <r>
          <rPr>
            <sz val="8"/>
            <color indexed="81"/>
            <rFont val="Tahoma"/>
            <family val="2"/>
          </rPr>
          <t xml:space="preserve">
Estrategias de almacenamiento de energía térmica (TAS) </t>
        </r>
      </text>
    </comment>
    <comment ref="I2" authorId="0" shapeId="0">
      <text>
        <r>
          <rPr>
            <b/>
            <sz val="8"/>
            <color indexed="81"/>
            <rFont val="Tahoma"/>
            <family val="2"/>
          </rPr>
          <t>Rafael Guerra:</t>
        </r>
        <r>
          <rPr>
            <sz val="8"/>
            <color indexed="81"/>
            <rFont val="Tahoma"/>
            <family val="2"/>
          </rPr>
          <t xml:space="preserve">
Operación y mantenimiento</t>
        </r>
      </text>
    </comment>
  </commentList>
</comments>
</file>

<file path=xl/comments5.xml><?xml version="1.0" encoding="utf-8"?>
<comments xmlns="http://schemas.openxmlformats.org/spreadsheetml/2006/main">
  <authors>
    <author>tc={4FC7F921-11F4-411F-BA37-753821E46409}</author>
    <author>tc={E74B9674-3EBB-4BFE-8987-43D196A61606}</author>
    <author>tc={8AC373EE-D870-48D2-9ACB-15275C0B705E}</author>
  </authors>
  <commentList>
    <comment ref="B41" authorId="0" shapeId="0">
      <text>
        <r>
          <rPr>
            <sz val="10"/>
            <rFont val="Arial"/>
            <family val="2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Valores futuros</t>
        </r>
      </text>
    </comment>
    <comment ref="B42" authorId="1" shapeId="0">
      <text>
        <r>
          <rPr>
            <sz val="10"/>
            <rFont val="Arial"/>
            <family val="2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Valores futuros acumulados.</t>
        </r>
      </text>
    </comment>
    <comment ref="B70" authorId="2" shapeId="0">
      <text>
        <r>
          <rPr>
            <sz val="10"/>
            <rFont val="Arial"/>
            <family val="2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Se asume que la tarifa empieza a cambiar después del de inversión de proyecto.</t>
        </r>
      </text>
    </comment>
  </commentList>
</comments>
</file>

<file path=xl/comments6.xml><?xml version="1.0" encoding="utf-8"?>
<comments xmlns="http://schemas.openxmlformats.org/spreadsheetml/2006/main">
  <authors>
    <author>tc={122D5647-48D0-4DDF-8829-6C50346D41F7}</author>
    <author>tc={842120F2-F7A5-4CF7-ABCB-9E085B1C5FEC}</author>
    <author>tc={FC8D4A4A-C20C-49E4-BFAB-D492E63C8CEE}</author>
    <author>tc={A72DDCA7-8F76-45D4-9A24-26BCF688F456}</author>
  </authors>
  <commentList>
    <comment ref="C34" authorId="0" shapeId="0">
      <text>
        <r>
          <rPr>
            <sz val="10"/>
            <rFont val="Arial"/>
            <family val="2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Banco de la república</t>
        </r>
      </text>
    </comment>
    <comment ref="B41" authorId="1" shapeId="0">
      <text>
        <r>
          <rPr>
            <sz val="10"/>
            <rFont val="Arial"/>
            <family val="2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Valores futuros</t>
        </r>
      </text>
    </comment>
    <comment ref="B42" authorId="2" shapeId="0">
      <text>
        <r>
          <rPr>
            <sz val="10"/>
            <rFont val="Arial"/>
            <family val="2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Valores futuros acumulados.</t>
        </r>
      </text>
    </comment>
    <comment ref="B70" authorId="3" shapeId="0">
      <text>
        <r>
          <rPr>
            <sz val="10"/>
            <rFont val="Arial"/>
            <family val="2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Se asume que la tarifa empieza a cambiar después del de inversión de proyecto.</t>
        </r>
      </text>
    </comment>
  </commentList>
</comments>
</file>

<file path=xl/comments7.xml><?xml version="1.0" encoding="utf-8"?>
<comments xmlns="http://schemas.openxmlformats.org/spreadsheetml/2006/main">
  <authors>
    <author>tc={122D5647-48D0-4DDF-8829-6C50346D41F7}</author>
    <author>tc={842120F2-F7A5-4CF7-ABCB-9E085B1C5FEC}</author>
    <author>tc={FC8D4A4A-C20C-49E4-BFAB-D492E63C8CEE}</author>
    <author>tc={A72DDCA7-8F76-45D4-9A24-26BCF688F456}</author>
  </authors>
  <commentList>
    <comment ref="C34" authorId="0" shapeId="0">
      <text>
        <r>
          <rPr>
            <sz val="10"/>
            <rFont val="Arial"/>
            <family val="2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Banco de la república</t>
        </r>
      </text>
    </comment>
    <comment ref="B41" authorId="1" shapeId="0">
      <text>
        <r>
          <rPr>
            <sz val="10"/>
            <rFont val="Arial"/>
            <family val="2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Valores futuros</t>
        </r>
      </text>
    </comment>
    <comment ref="B42" authorId="2" shapeId="0">
      <text>
        <r>
          <rPr>
            <sz val="10"/>
            <rFont val="Arial"/>
            <family val="2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Valores futuros acumulados.</t>
        </r>
      </text>
    </comment>
    <comment ref="B70" authorId="3" shapeId="0">
      <text>
        <r>
          <rPr>
            <sz val="10"/>
            <rFont val="Arial"/>
            <family val="2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Se asume que la tarifa empieza a cambiar después del de inversión de proyecto.</t>
        </r>
      </text>
    </comment>
  </commentList>
</comments>
</file>

<file path=xl/comments8.xml><?xml version="1.0" encoding="utf-8"?>
<comments xmlns="http://schemas.openxmlformats.org/spreadsheetml/2006/main">
  <authors>
    <author>tc={915253D1-8316-4DEB-973F-CFBA44DAD1F1}</author>
    <author>tc={B54B9F60-3C25-4AA0-8A45-FE75E7E0A571}</author>
    <author>tc={C432F120-472B-4283-BCEC-989456B9AB5D}</author>
    <author>tc={DE7C0869-BAF4-445F-9043-B45D3660572F}</author>
  </authors>
  <commentList>
    <comment ref="C34" authorId="0" shapeId="0">
      <text>
        <r>
          <rPr>
            <sz val="10"/>
            <rFont val="Arial"/>
            <family val="2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Banco de la república</t>
        </r>
      </text>
    </comment>
    <comment ref="B41" authorId="1" shapeId="0">
      <text>
        <r>
          <rPr>
            <sz val="10"/>
            <rFont val="Arial"/>
            <family val="2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Valores futuros</t>
        </r>
      </text>
    </comment>
    <comment ref="B42" authorId="2" shapeId="0">
      <text>
        <r>
          <rPr>
            <sz val="10"/>
            <rFont val="Arial"/>
            <family val="2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Valores futuros acumulados.</t>
        </r>
      </text>
    </comment>
    <comment ref="B70" authorId="3" shapeId="0">
      <text>
        <r>
          <rPr>
            <sz val="10"/>
            <rFont val="Arial"/>
            <family val="2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Se asume que la tarifa empieza a cambiar después del de inversión de proyecto.</t>
        </r>
      </text>
    </comment>
  </commentList>
</comments>
</file>

<file path=xl/sharedStrings.xml><?xml version="1.0" encoding="utf-8"?>
<sst xmlns="http://schemas.openxmlformats.org/spreadsheetml/2006/main" count="1106" uniqueCount="409">
  <si>
    <t>Ocupación</t>
  </si>
  <si>
    <t>HVAC</t>
  </si>
  <si>
    <t>Electricidad</t>
  </si>
  <si>
    <t>Gas natural</t>
  </si>
  <si>
    <t>Diesel</t>
  </si>
  <si>
    <t>Consumo de agua</t>
  </si>
  <si>
    <t>Mantenimiento</t>
  </si>
  <si>
    <t>-</t>
  </si>
  <si>
    <t>Secretaría</t>
  </si>
  <si>
    <t>kWh</t>
  </si>
  <si>
    <t>NA</t>
  </si>
  <si>
    <t xml:space="preserve">Favor, seleccionar las unidades de los energéticos utilizados en la edificación: </t>
  </si>
  <si>
    <t>Gas Natural</t>
  </si>
  <si>
    <t>m3</t>
  </si>
  <si>
    <t>ft3</t>
  </si>
  <si>
    <t>l</t>
  </si>
  <si>
    <t>Gal</t>
  </si>
  <si>
    <t>GLP</t>
  </si>
  <si>
    <t>kg</t>
  </si>
  <si>
    <t>Moneda</t>
  </si>
  <si>
    <t>COP</t>
  </si>
  <si>
    <t>USD</t>
  </si>
  <si>
    <t>EUR</t>
  </si>
  <si>
    <t xml:space="preserve">Diesel </t>
  </si>
  <si>
    <t>Agua</t>
  </si>
  <si>
    <t>Cluster</t>
  </si>
  <si>
    <t>Otros</t>
  </si>
  <si>
    <t>%</t>
  </si>
  <si>
    <t>Propia</t>
  </si>
  <si>
    <t>Si</t>
  </si>
  <si>
    <t>No</t>
  </si>
  <si>
    <t>Red</t>
  </si>
  <si>
    <t>Mortero</t>
  </si>
  <si>
    <t>Ladrillo perforado</t>
  </si>
  <si>
    <t>Cámara de aire</t>
  </si>
  <si>
    <t>Panel de yeso</t>
  </si>
  <si>
    <t>Hospital</t>
  </si>
  <si>
    <t>Alcaldia Local</t>
  </si>
  <si>
    <t>Hospitales</t>
  </si>
  <si>
    <t>Alquilada</t>
  </si>
  <si>
    <t>Producción Propia</t>
  </si>
  <si>
    <t>Alcaldía</t>
  </si>
  <si>
    <t>Librerías</t>
  </si>
  <si>
    <t>Leasing</t>
  </si>
  <si>
    <t>Loza de concreto</t>
  </si>
  <si>
    <t>Biblioteca</t>
  </si>
  <si>
    <t>Universidad</t>
  </si>
  <si>
    <t>Secretaría Distrital</t>
  </si>
  <si>
    <t>Plaza de mercado</t>
  </si>
  <si>
    <t>Transporte</t>
  </si>
  <si>
    <t>Ventana simple acristalamiento</t>
  </si>
  <si>
    <t>Portal</t>
  </si>
  <si>
    <t>Ventana doble acristalamiento</t>
  </si>
  <si>
    <t>Terminal de Transporte</t>
  </si>
  <si>
    <t>Marcos de aluminio</t>
  </si>
  <si>
    <t>Puertas de vidrio</t>
  </si>
  <si>
    <t>Otro</t>
  </si>
  <si>
    <t>TIPO DE ILUMINACIÓN</t>
  </si>
  <si>
    <t>LED</t>
  </si>
  <si>
    <t>FLUORESCENTE T5</t>
  </si>
  <si>
    <t>FLUORESCENTE T8</t>
  </si>
  <si>
    <t>FLUORESCENTE T12</t>
  </si>
  <si>
    <t>FLUORECENTE COMPACTA</t>
  </si>
  <si>
    <t>VAPOR DE SODIO</t>
  </si>
  <si>
    <t>INCANDESCENTE</t>
  </si>
  <si>
    <t>HALÓGENAS</t>
  </si>
  <si>
    <t>TIPO DE AA</t>
  </si>
  <si>
    <t>Ventilación Mecanica</t>
  </si>
  <si>
    <t>Cassette</t>
  </si>
  <si>
    <t>Split Central</t>
  </si>
  <si>
    <t>Piso techo</t>
  </si>
  <si>
    <t>Mini Split</t>
  </si>
  <si>
    <t>TIPO DE BOMBA</t>
  </si>
  <si>
    <t>CENTRÍFUGA</t>
  </si>
  <si>
    <t>DESPLAZAMIENTO POSITIVO</t>
  </si>
  <si>
    <t>TIPO DE COMPRESOR</t>
  </si>
  <si>
    <t>TORNILLO</t>
  </si>
  <si>
    <t>CENTRÍFUGO</t>
  </si>
  <si>
    <t>TIPO DE CALDERA</t>
  </si>
  <si>
    <t>PIROTUBULAR</t>
  </si>
  <si>
    <t>ACUATUBULAR</t>
  </si>
  <si>
    <t>Promedio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</si>
  <si>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</si>
  <si>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</si>
  <si>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</si>
  <si>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</si>
  <si>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</si>
  <si>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</si>
  <si>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</si>
  <si>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</si>
  <si>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</si>
  <si>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</si>
  <si>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</si>
  <si>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</si>
  <si>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</si>
  <si>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Cant</t>
  </si>
  <si>
    <t>TOTAL</t>
  </si>
  <si>
    <t>m3/mes</t>
  </si>
  <si>
    <t>Unidades</t>
  </si>
  <si>
    <t>IPC</t>
  </si>
  <si>
    <t>Diferencia Censo y factura [kWh/mes]</t>
  </si>
  <si>
    <t>Refrigeración</t>
  </si>
  <si>
    <t>Iluminación</t>
  </si>
  <si>
    <t>Bombeo</t>
  </si>
  <si>
    <t>Ofimáticos</t>
  </si>
  <si>
    <t>Electrodomésticos</t>
  </si>
  <si>
    <t>Ascensores</t>
  </si>
  <si>
    <t>Otros (equipos de laboratorio de baja intensidad)</t>
  </si>
  <si>
    <t>% acumulado</t>
  </si>
  <si>
    <t>Consumo de gas natural</t>
  </si>
  <si>
    <t>Costo de gas natural (impuestos no incluídos)</t>
  </si>
  <si>
    <t>Costo unitario del gas natural (impuestos no incluídos)</t>
  </si>
  <si>
    <t>Gas</t>
  </si>
  <si>
    <t>Diferencia Censo y factura [m3/mes]</t>
  </si>
  <si>
    <t>Calderas</t>
  </si>
  <si>
    <t>Cocina de cafeteria</t>
  </si>
  <si>
    <t>Costo del agua (impuestos no incluidos)</t>
  </si>
  <si>
    <t>Costo unitario del agua</t>
  </si>
  <si>
    <t>Consumo interno total</t>
  </si>
  <si>
    <t>Costos (EGB) (impuestos no incluidos)</t>
  </si>
  <si>
    <t>Mantenimiento propio</t>
  </si>
  <si>
    <t>Mano de obra</t>
  </si>
  <si>
    <t>Correctivo</t>
  </si>
  <si>
    <t>Mantenimiento externo (contratistas)</t>
  </si>
  <si>
    <t>IPC mantenimiento</t>
  </si>
  <si>
    <t>Linea Base de Energía Eléctrica</t>
  </si>
  <si>
    <t>Con respecto a promedio consumo 2022</t>
  </si>
  <si>
    <t>Linea base de consumo de agua</t>
  </si>
  <si>
    <t>Mes-año</t>
  </si>
  <si>
    <t>Mes []</t>
  </si>
  <si>
    <t>Consumo de energía eléctrica [kWh/mes]</t>
  </si>
  <si>
    <t>LCS-Máx</t>
  </si>
  <si>
    <t>LCS</t>
  </si>
  <si>
    <t>Media</t>
  </si>
  <si>
    <t>LCI</t>
  </si>
  <si>
    <t>LCI-Mín</t>
  </si>
  <si>
    <t>CUSUM</t>
  </si>
  <si>
    <t>Tendencia Sobreconsumo</t>
  </si>
  <si>
    <t>Tendencia Ahorro</t>
  </si>
  <si>
    <t>Indicador B100 [%]</t>
  </si>
  <si>
    <t>Indicador B100 [%] - Ahorro</t>
  </si>
  <si>
    <t>Indicador GEI 
[ton CO2eq/mes]</t>
  </si>
  <si>
    <t>Indicador GEI Base</t>
  </si>
  <si>
    <t>Indicador de consumo eléctrico por área [kWh/m2-año]</t>
  </si>
  <si>
    <t>Indicador base - SDS [kWh/m2-año]</t>
  </si>
  <si>
    <t>Indicador base - Clima Frío [kWh/m2-año]</t>
  </si>
  <si>
    <t>Consumo de agua [m^3/mes]</t>
  </si>
  <si>
    <t>Tendencia Sobreconsumuso</t>
  </si>
  <si>
    <t>Indicador de consumo de agua [l/pers/dia]</t>
  </si>
  <si>
    <t>Indicador base de consumo de agua 2022 [l/pers/dia]</t>
  </si>
  <si>
    <t>Indicador base de consumo de agua - Clima frio [l/pers/dia]</t>
  </si>
  <si>
    <t>Consumo de gas natural [m^3/mes]</t>
  </si>
  <si>
    <t>INDICADORES DE DESEMPEÑO</t>
  </si>
  <si>
    <t xml:space="preserve">Área </t>
  </si>
  <si>
    <t>m2</t>
  </si>
  <si>
    <t>Costo / m2</t>
  </si>
  <si>
    <t>Electricidad / m2</t>
  </si>
  <si>
    <t>Gas natural / m2</t>
  </si>
  <si>
    <t>Agua /m2</t>
  </si>
  <si>
    <t>Ficha Técnica Linea Base de Energía Eléctrica</t>
  </si>
  <si>
    <t>Ficha Técnica Linea Base de consumo de agua</t>
  </si>
  <si>
    <t>Ficha Técnica Linea Base de consumo de gas natural</t>
  </si>
  <si>
    <t>Período base</t>
  </si>
  <si>
    <t>Promedio consumo 2022 [kWh/mes]</t>
  </si>
  <si>
    <t>Promedio consumo 2022 [m^3/mes]</t>
  </si>
  <si>
    <t>Desviación estándar [kWh/mes]</t>
  </si>
  <si>
    <t>Desviación estándar [m^3/mes]</t>
  </si>
  <si>
    <t>LCS - Máx</t>
  </si>
  <si>
    <t>LCI - Mín</t>
  </si>
  <si>
    <t>Consumo total 2022 [kWh/m2-año]</t>
  </si>
  <si>
    <t>Consumo total 2022 [l/persona/día]</t>
  </si>
  <si>
    <t>Consumo total 2022 [m^3/m^2]</t>
  </si>
  <si>
    <t>LBEn - Clima Frío [kWh/m2-año]</t>
  </si>
  <si>
    <t xml:space="preserve">Referencia consumo agua - Clima Frío [l/persona/día] </t>
  </si>
  <si>
    <t xml:space="preserve">Referencia edificación universidad barcelona (laboratorios, calecfacción en invierno y cocinas) [m3/m2] </t>
  </si>
  <si>
    <t>Consumo total 2022 [m3/m2-año]</t>
  </si>
  <si>
    <t>Factor de emisiones [tonCO2eq/MWh]</t>
  </si>
  <si>
    <t>Referencia emisiones - Construcción Sostenible [Ton CO2eq]</t>
  </si>
  <si>
    <t>Propuesto</t>
  </si>
  <si>
    <t>IPC electricidad</t>
  </si>
  <si>
    <t>IPC gas</t>
  </si>
  <si>
    <t>IPC agua</t>
  </si>
  <si>
    <t>Precios unitarios</t>
  </si>
  <si>
    <t>Valor</t>
  </si>
  <si>
    <t>Consumo total</t>
  </si>
  <si>
    <t>Fuel</t>
  </si>
  <si>
    <t>IPC Gas</t>
  </si>
  <si>
    <t>IPC Fuel</t>
  </si>
  <si>
    <t>Gas (€/kWh)</t>
  </si>
  <si>
    <t>Fuel (€/m3)</t>
  </si>
  <si>
    <t>Medidas de Conservación de Energía</t>
  </si>
  <si>
    <t>Clasificación</t>
  </si>
  <si>
    <t>Código</t>
  </si>
  <si>
    <t>Descripción Ejecutiva</t>
  </si>
  <si>
    <t>REM</t>
  </si>
  <si>
    <t>EEM</t>
  </si>
  <si>
    <t>OGM</t>
  </si>
  <si>
    <t>RGM</t>
  </si>
  <si>
    <t>FSS</t>
  </si>
  <si>
    <t>TAS</t>
  </si>
  <si>
    <t>O&amp;M</t>
  </si>
  <si>
    <t>ECM-1</t>
  </si>
  <si>
    <t>Reemplazo de lámparas de sodio y fluorescentes por tecnología LED</t>
  </si>
  <si>
    <t>x</t>
  </si>
  <si>
    <t>ECM-2</t>
  </si>
  <si>
    <t>Instalación de control por sensor de presencia en luminarias de pasillos del edificio</t>
  </si>
  <si>
    <t>ECM-3</t>
  </si>
  <si>
    <t>Instalación de control por fotoceldas en luminarias exteriores</t>
  </si>
  <si>
    <t>ECM-4</t>
  </si>
  <si>
    <t>ECM-5</t>
  </si>
  <si>
    <t>Cambio tecnológico de ascensores actuales por equipos de mayor eficiencia energética</t>
  </si>
  <si>
    <t>ECM-6</t>
  </si>
  <si>
    <t>Implementación de frenos regenerativos con inyección a la red en ascensores actuales</t>
  </si>
  <si>
    <t>ECM-7</t>
  </si>
  <si>
    <t>Implementación de frenos regenerativos con supercondensadores en ascensores actuales</t>
  </si>
  <si>
    <t>ECM-8</t>
  </si>
  <si>
    <t>Instalación de regletas para el apagado rápido y control del consumo de equipos ofimáticos</t>
  </si>
  <si>
    <t>ECM-9</t>
  </si>
  <si>
    <t>Implementacion de un sistema de gestión energética en linea para el control operacional del desempeño energético</t>
  </si>
  <si>
    <t>ECM-10</t>
  </si>
  <si>
    <t>Implementación de política cero papel en las oficinas de la edificación</t>
  </si>
  <si>
    <t>ECM-11</t>
  </si>
  <si>
    <t>Cambio tecnológico de neveras de congelamiento</t>
  </si>
  <si>
    <t>ECM-12</t>
  </si>
  <si>
    <t>ECM-13</t>
  </si>
  <si>
    <t>ECM-14</t>
  </si>
  <si>
    <t>ECM-15</t>
  </si>
  <si>
    <t>ECM-16</t>
  </si>
  <si>
    <t>ECM-17</t>
  </si>
  <si>
    <t>ECM-18</t>
  </si>
  <si>
    <t>ECM-19</t>
  </si>
  <si>
    <t>ECM-20</t>
  </si>
  <si>
    <t>ECM-21</t>
  </si>
  <si>
    <t>ECM-22</t>
  </si>
  <si>
    <t>ECM-23</t>
  </si>
  <si>
    <t>ECM-24</t>
  </si>
  <si>
    <t>currency</t>
  </si>
  <si>
    <t>GN</t>
  </si>
  <si>
    <t>LPG</t>
  </si>
  <si>
    <t>€</t>
  </si>
  <si>
    <t>Evaluación Financiera</t>
  </si>
  <si>
    <t>EGP</t>
  </si>
  <si>
    <t>Situación Actual Base</t>
  </si>
  <si>
    <t>Descripción y Concepto de Mejora</t>
  </si>
  <si>
    <t>Actualmente, la secretaria distrital de salud (SDS) cuenta con un estimado de 2884 luminarias de tipo fluorescentes y de sodio en sus instalaciones.</t>
  </si>
  <si>
    <t xml:space="preserve">Se propone la modernización tecnológica de las actuales luminarias por tecnología LED. Se estima un potencial de ahorro&gt;50% en el consumo de energía de estos dispositivos. </t>
  </si>
  <si>
    <t>ID Medida</t>
  </si>
  <si>
    <t>Edificación</t>
  </si>
  <si>
    <t>Descripción de medida</t>
  </si>
  <si>
    <t>Ahorros de electricidad</t>
  </si>
  <si>
    <t>Ahorros de Gas Natural</t>
  </si>
  <si>
    <t>Ahorros de Diesel</t>
  </si>
  <si>
    <t>Ahorros de GLP</t>
  </si>
  <si>
    <t>Ahorros de Agua</t>
  </si>
  <si>
    <t>Datos de entrada</t>
  </si>
  <si>
    <t>Resultados después de impuestos</t>
  </si>
  <si>
    <t>Inversión:</t>
  </si>
  <si>
    <t>TIR</t>
  </si>
  <si>
    <t>Tiempo del proyecto:</t>
  </si>
  <si>
    <t>años</t>
  </si>
  <si>
    <t>VPN</t>
  </si>
  <si>
    <t>Depreciación:</t>
  </si>
  <si>
    <t>Payback</t>
  </si>
  <si>
    <t>yrs</t>
  </si>
  <si>
    <t>Ahorro anual de dinero</t>
  </si>
  <si>
    <t>Ahorro porcentual</t>
  </si>
  <si>
    <t>Ahorros anuales</t>
  </si>
  <si>
    <t>Reducción de GEI</t>
  </si>
  <si>
    <t>(tCO2/año)</t>
  </si>
  <si>
    <t>Impuesto sobre utilidades</t>
  </si>
  <si>
    <t>Tasa de descuento</t>
  </si>
  <si>
    <t>Subsidio</t>
  </si>
  <si>
    <t>Análisis Flujo de Caja</t>
  </si>
  <si>
    <t>Inversión (Incl. Subsidio)</t>
  </si>
  <si>
    <t>EBITDA</t>
  </si>
  <si>
    <t>Impuestos</t>
  </si>
  <si>
    <t>Flujo de Caja Libre</t>
  </si>
  <si>
    <t>Flujo de Caja Libre Acumulado</t>
  </si>
  <si>
    <t>Flujo presente (VP)</t>
  </si>
  <si>
    <t>Flujo presente acumulado</t>
  </si>
  <si>
    <t>PyG Projecto</t>
  </si>
  <si>
    <t>Ahorros Anuales</t>
  </si>
  <si>
    <t>Depreciación</t>
  </si>
  <si>
    <t>EBIT</t>
  </si>
  <si>
    <t>Utilidad Neta</t>
  </si>
  <si>
    <t>Utilidad Neta + depreciación</t>
  </si>
  <si>
    <t>Proyección de tarifa</t>
  </si>
  <si>
    <t>Año a partir de inversión</t>
  </si>
  <si>
    <t>CAPEX</t>
  </si>
  <si>
    <t>Descripción</t>
  </si>
  <si>
    <t>Luminarias LED 12 W tipo bombillo</t>
  </si>
  <si>
    <t>Luminarias LED tipo panel 40 W</t>
  </si>
  <si>
    <t>Valor unitario</t>
  </si>
  <si>
    <t>Cantidad</t>
  </si>
  <si>
    <t>Actualmente, la secretaria distrital de salud (SDS) cuenta con 9 ascensores de capacidades entre 900-1150 kg (1000 kg en promedio) instaladas desde el año 1999 con potencias nominales entre 10-20 kW.</t>
  </si>
  <si>
    <t xml:space="preserve">Actualmente, la edificación no cuenta con un sistema de gestión de la energía o un equipo que se encargue de promover la cultura organizacional enfocada al uso eficiente de los equipos energéticos de la edificación. </t>
  </si>
  <si>
    <t>Años</t>
  </si>
  <si>
    <t>Cambio tecnológico de caldera de 7.5 BHP por sistemas de calentamiento a gas.</t>
  </si>
  <si>
    <t>Se propone la construcción de una herramienta en línea con mediciones en tiempo real del consumo global y de los usos significativos de la energía con la cual se realizaría el seguimiento de indicadores de desempeño energético y la socialización de resultados al personal de la edificación para contribuir con el uso eficiente de la energía en la edificación. Se estiman ahorros de aproximadamente 3% del consumo de energéticos.</t>
  </si>
  <si>
    <t>Factor de emisiones - gas natural [Ton CO2eq/m3]</t>
  </si>
  <si>
    <t>Edificio Administrativo</t>
  </si>
  <si>
    <t xml:space="preserve">Edificio DUES </t>
  </si>
  <si>
    <t>Costos Adicionales (OPEX)</t>
  </si>
  <si>
    <t>Luminarias LED 18 W tipo bombillo</t>
  </si>
  <si>
    <t>Costos de Instalación</t>
  </si>
  <si>
    <t>Costos Adicionales (Opex)</t>
  </si>
  <si>
    <t>Und</t>
  </si>
  <si>
    <t>Valor total</t>
  </si>
  <si>
    <t>Otras Ofertas</t>
  </si>
  <si>
    <t>Oferta OTIS Gen2</t>
  </si>
  <si>
    <t>Luminárias LED 16 W tipo lámpara</t>
  </si>
  <si>
    <t>Costos de Luminarias</t>
  </si>
  <si>
    <t>Ascensores No. 1 al 4 - Edificio Administrativo</t>
  </si>
  <si>
    <t>Valor Equipo DDP Bogotá</t>
  </si>
  <si>
    <t>USD + IVA</t>
  </si>
  <si>
    <t xml:space="preserve">Valor servicio instalación y puesta en Marcha </t>
  </si>
  <si>
    <t>+ IVA</t>
  </si>
  <si>
    <t>Valor Total (pesos colombianos)</t>
  </si>
  <si>
    <t>Ascensores No. 5 - Edificio Hemocentro</t>
  </si>
  <si>
    <t>Ascensores No. 6 - Edificio Hemocentro</t>
  </si>
  <si>
    <t>Ascensores No. 7 - Edificio Laboratorios</t>
  </si>
  <si>
    <t>Ascensores No. 8 - Edificio Laboratorios</t>
  </si>
  <si>
    <t>Ascensores No. 9 - Edificio DUES</t>
  </si>
  <si>
    <t xml:space="preserve">Medidor de energía Circutor CVM-C10 (Nivel 2) </t>
  </si>
  <si>
    <t xml:space="preserve">Medidor de energía Circutor CVM-C4 (Nivel 2) </t>
  </si>
  <si>
    <t xml:space="preserve">Medidor de energía Heyi HY-2D2Y (Nivel 2) </t>
  </si>
  <si>
    <t>Mini interruptor tripolar de 6A</t>
  </si>
  <si>
    <t>Mini interruptor monopolar de 6A</t>
  </si>
  <si>
    <t>Borneras cortocircuitables</t>
  </si>
  <si>
    <t>Transformador de corriente</t>
  </si>
  <si>
    <t>Bornera sencilla</t>
  </si>
  <si>
    <t>Bornera para neutro</t>
  </si>
  <si>
    <t>Bornera para tierra</t>
  </si>
  <si>
    <t>Frenos para bornera</t>
  </si>
  <si>
    <t>Cableado de señales</t>
  </si>
  <si>
    <t>m</t>
  </si>
  <si>
    <t>Cable para red de comunicación Modbus RTU</t>
  </si>
  <si>
    <t>Accesorios</t>
  </si>
  <si>
    <t>Glb</t>
  </si>
  <si>
    <t>Equipos de comunicación</t>
  </si>
  <si>
    <t>Concentrador de señales</t>
  </si>
  <si>
    <t>Subtotal</t>
  </si>
  <si>
    <t>Configuración del Sistema de Monitoreo y Desarrollo del Dashboard</t>
  </si>
  <si>
    <t>Alertas y Notificaciones</t>
  </si>
  <si>
    <t>Identificación de Variables Significativas y Desarrollo del Árbol de Decisión</t>
  </si>
  <si>
    <t>D E S C R I P C I Ó N</t>
  </si>
  <si>
    <t>Unidad</t>
  </si>
  <si>
    <t>SUMINISTRO MATERIALES</t>
  </si>
  <si>
    <t>INSTALACIÓN Y/O CONSTRUCCIÓN</t>
  </si>
  <si>
    <t>UNITARIO</t>
  </si>
  <si>
    <t>VALOR</t>
  </si>
  <si>
    <t>VALOR UNIT.</t>
  </si>
  <si>
    <t>VALOR TOTAL</t>
  </si>
  <si>
    <t>($)</t>
  </si>
  <si>
    <t>OBRAS CIVILES</t>
  </si>
  <si>
    <t>Adecuación de Obras Civiles para instalación de nuevas luminarias</t>
  </si>
  <si>
    <t>Acondicionar el área de trabajo</t>
  </si>
  <si>
    <t>Retirar las luminarias existentes T8X4</t>
  </si>
  <si>
    <t>c/u</t>
  </si>
  <si>
    <t xml:space="preserve">-   </t>
  </si>
  <si>
    <t>Instalación de los Paneles LED en las nuevas ubicaciones.</t>
  </si>
  <si>
    <t>Retirar las Bombillas ahorradoras instaladas.</t>
  </si>
  <si>
    <t>Ampliar los agujeros (de 14cm a 15,4cm)</t>
  </si>
  <si>
    <t>Instalar los paneles LED Circulares</t>
  </si>
  <si>
    <t>Desinstalar Lámparas herméticas Fluorescentes</t>
  </si>
  <si>
    <t>OBRAS ELECTRICAS</t>
  </si>
  <si>
    <t>Conexión eléctricas de equipos</t>
  </si>
  <si>
    <t>Gbl</t>
  </si>
  <si>
    <t xml:space="preserve">Desplazar los puntos de luz de los Paneles LED </t>
  </si>
  <si>
    <t xml:space="preserve">Conexión del Driver electrónico del panel LED </t>
  </si>
  <si>
    <t>Conexión del Driver electrónico de los paneles LED Circulares</t>
  </si>
  <si>
    <t>Desconexión lámparas fluorescentes  y conexión de las Pantallas Estanca 2xT8</t>
  </si>
  <si>
    <t>OFICINA TÉCNICA</t>
  </si>
  <si>
    <t xml:space="preserve">Interventoría de Proyecto </t>
  </si>
  <si>
    <t xml:space="preserve">TOTAL COSTO DIRECTO OBRAS </t>
  </si>
  <si>
    <t>ADMINISTRACIÓN</t>
  </si>
  <si>
    <t>IMPREVISTOS</t>
  </si>
  <si>
    <t>UTILIDAD</t>
  </si>
  <si>
    <t>TOTAL AIU</t>
  </si>
  <si>
    <t xml:space="preserve">VALOR TOTAL OBRAS </t>
  </si>
  <si>
    <t>VALOR TOTAL PROYECTO</t>
  </si>
  <si>
    <t xml:space="preserve">Adecuación de Obras Civiles </t>
  </si>
  <si>
    <t>Instalación de los medidores en los 8 Totalizadores (TR1, TR2, Ascensores y Datacenter, Edf. Administrativo, Laboratorio, Hemocentro, CRU y Sótano)</t>
  </si>
  <si>
    <t>Instalación de medidores en el edificio administrativo.</t>
  </si>
  <si>
    <t>Instalación de los medidores en el edificio de laboratorios.</t>
  </si>
  <si>
    <t>Instalación de los medidores en el edificio Hemocentro.</t>
  </si>
  <si>
    <t>Instalación del medidor en el Totalizador Iluminación Edif. CRU</t>
  </si>
  <si>
    <t>PROGRAMACIÓN Y DESARROLLO</t>
  </si>
  <si>
    <t>Acceso Remoto y Almacenamiento Seguro de Datos:</t>
  </si>
  <si>
    <t>Ingeniero(a) Interventor Eléctrico</t>
  </si>
  <si>
    <t xml:space="preserve">Dia </t>
  </si>
  <si>
    <t>Cuatro técnicos eléctricos responsables de la obra.</t>
  </si>
  <si>
    <t>TOTAL COSTO DIRECTO OBRAS =</t>
  </si>
  <si>
    <t xml:space="preserve">ADMINISTRACIÓN </t>
  </si>
  <si>
    <t>VALOR TOTAL OBRAS =</t>
  </si>
  <si>
    <t>.</t>
  </si>
  <si>
    <t>ECM-1 Sustitución de Luminarias</t>
  </si>
  <si>
    <t xml:space="preserve">ECM-9 Control operacional en línea </t>
  </si>
  <si>
    <t>ECM-5 Modernización de ascensores</t>
  </si>
  <si>
    <t>UN</t>
  </si>
  <si>
    <t>EQUIPOS PRINCIPALES</t>
  </si>
  <si>
    <t>Ascensores (Motores síncronos, bandas de acero recubiertas de poliuretano, y sistema de frenado regenerativo)</t>
  </si>
  <si>
    <t xml:space="preserve"> Glb </t>
  </si>
  <si>
    <t xml:space="preserve">Edificio Administrativo </t>
  </si>
  <si>
    <t>Edificio Laboratorios</t>
  </si>
  <si>
    <t>Edificio Hemocentro</t>
  </si>
  <si>
    <t>Edificio DUES</t>
  </si>
  <si>
    <t xml:space="preserve">Instalación de sistemas de control, frenado regenerativo y conexiones eléctricas </t>
  </si>
  <si>
    <t xml:space="preserve">                                 -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</si>
</sst>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6" formatCode="&quot;$&quot;\ #,##0;[Red]\-&quot;$&quot;\ #,##0"/>
    <numFmt numFmtId="44" formatCode="_-&quot;$&quot;\ * #,##0.00_-;\-&quot;$&quot;\ * #,##0.00_-;_-&quot;$&quot;\ * &quot;-&quot;??_-;_-@_-"/>
    <numFmt numFmtId="164" formatCode="_-* #,##0.00\ _€_-;\-* #,##0.00\ _€_-;_-* &quot;-&quot;??\ _€_-;_-@_-"/>
    <numFmt numFmtId="165" formatCode="0.0"/>
    <numFmt numFmtId="166" formatCode="0.0%"/>
    <numFmt numFmtId="167" formatCode="#,##0.0000"/>
    <numFmt numFmtId="168" formatCode="#,##0.000"/>
    <numFmt numFmtId="169" formatCode="#,##0.0"/>
    <numFmt numFmtId="170" formatCode="_-* #,##0.000\ _€_-;\-* #,##0.000\ _€_-;_-* &quot;-&quot;??\ _€_-;_-@_-"/>
    <numFmt numFmtId="171" formatCode="_-* #,##0\ _€_-;\-* #,##0\ _€_-;_-* &quot;-&quot;??\ _€_-;_-@_-"/>
    <numFmt numFmtId="172" formatCode="0.000"/>
    <numFmt numFmtId="173" formatCode="_-&quot;$&quot;\ * #,##0_-;\-&quot;$&quot;\ * #,##0_-;_-&quot;$&quot;\ * &quot;-&quot;??_-;_-@_-"/>
    <numFmt numFmtId="174" formatCode="_-[$$-240A]\ * #,##0_-;\-[$$-240A]\ * #,##0_-;_-[$$-240A]\ * &quot;-&quot;??_-;_-@_-"/>
    <numFmt numFmtId="175" formatCode="0.000%"/>
    <numFmt numFmtId="176" formatCode="_-* #,##0.0\ _€_-;\-* #,##0.0\ _€_-;_-* &quot;-&quot;??\ _€_-;_-@_-"/>
    <numFmt numFmtId="177" formatCode="_-&quot;$&quot;\ * #,##0.0_-;\-&quot;$&quot;\ * #,##0.0_-;_-&quot;$&quot;\ * &quot;-&quot;??_-;_-@_-"/>
    <numFmt numFmtId="178" formatCode="0.0000"/>
    <numFmt numFmtId="179" formatCode="_(&quot;$&quot;* #,##0.00_);_(&quot;$&quot;* \(#,##0.00\);_(&quot;$&quot;* &quot;-&quot;??_);_(@_)"/>
  </numFmts>
  <fonts count="76">
    <font>
      <sz val="10"/>
      <name val="Arial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8"/>
      <color theme="0"/>
      <name val="Verdana"/>
      <family val="2"/>
    </font>
    <font>
      <b/>
      <sz val="9"/>
      <color theme="0"/>
      <name val="Verdana"/>
      <family val="2"/>
    </font>
    <font>
      <sz val="8"/>
      <color theme="1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b/>
      <sz val="8"/>
      <color theme="1"/>
      <name val="Verdana"/>
      <family val="2"/>
    </font>
    <font>
      <b/>
      <sz val="8"/>
      <color theme="0"/>
      <name val="Verdana"/>
      <family val="2"/>
    </font>
    <font>
      <b/>
      <sz val="12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Verdan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sz val="8"/>
      <color rgb="FF000000"/>
      <name val="Verdana"/>
      <family val="2"/>
    </font>
    <font>
      <sz val="8"/>
      <color rgb="FFFF0000"/>
      <name val="Verdana"/>
      <family val="2"/>
    </font>
    <font>
      <b/>
      <sz val="9"/>
      <name val="Arial"/>
      <family val="2"/>
    </font>
    <font>
      <sz val="10"/>
      <color theme="5" tint="-0.249977111117893"/>
      <name val="Arial"/>
      <family val="2"/>
    </font>
    <font>
      <sz val="8"/>
      <color rgb="FFFFFFFF"/>
      <name val="Verdana"/>
      <family val="2"/>
    </font>
    <font>
      <b/>
      <sz val="8"/>
      <color rgb="FF000000"/>
      <name val="Verdana"/>
      <family val="2"/>
    </font>
    <font>
      <sz val="10"/>
      <color rgb="FFFF0000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8"/>
      <name val="Arial"/>
      <family val="2"/>
    </font>
    <font>
      <b/>
      <sz val="9"/>
      <color theme="1"/>
      <name val="Roboto"/>
    </font>
    <font>
      <sz val="9"/>
      <color theme="1"/>
      <name val="Roboto"/>
    </font>
    <font>
      <sz val="9"/>
      <name val="Arial"/>
      <family val="2"/>
    </font>
    <font>
      <b/>
      <sz val="8"/>
      <color rgb="FFFF0000"/>
      <name val="Verdana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8"/>
      <color rgb="FF00B050"/>
      <name val="Verdana"/>
      <family val="2"/>
    </font>
    <font>
      <b/>
      <sz val="18"/>
      <color theme="3"/>
      <name val="Arial"/>
      <family val="2"/>
    </font>
    <font>
      <b/>
      <sz val="12"/>
      <color theme="3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11"/>
      <color theme="1"/>
      <name val="Arial"/>
      <family val="2"/>
    </font>
    <font>
      <i/>
      <sz val="10"/>
      <color theme="1"/>
      <name val="Arial"/>
      <family val="2"/>
    </font>
    <font>
      <i/>
      <sz val="9"/>
      <color theme="1"/>
      <name val="Arial"/>
      <family val="2"/>
    </font>
    <font>
      <b/>
      <sz val="10"/>
      <color theme="0"/>
      <name val="Arial"/>
      <family val="2"/>
    </font>
    <font>
      <sz val="10"/>
      <color rgb="FF000000"/>
      <name val="Calibri"/>
      <family val="2"/>
      <scheme val="minor"/>
    </font>
    <font>
      <sz val="10"/>
      <name val="Barlow"/>
    </font>
    <font>
      <b/>
      <sz val="11"/>
      <color theme="1"/>
      <name val="Barlow"/>
    </font>
    <font>
      <b/>
      <sz val="10"/>
      <name val="Barlow"/>
    </font>
    <font>
      <sz val="11"/>
      <name val="Barlow"/>
    </font>
    <font>
      <sz val="8"/>
      <name val="Barlow"/>
    </font>
    <font>
      <b/>
      <sz val="8"/>
      <color theme="1"/>
      <name val="Barlow"/>
    </font>
    <font>
      <b/>
      <sz val="8"/>
      <name val="Barlow"/>
    </font>
    <font>
      <b/>
      <sz val="8"/>
      <color theme="0"/>
      <name val="Barlow"/>
    </font>
    <font>
      <sz val="8"/>
      <color theme="1"/>
      <name val="Barlow"/>
    </font>
    <font>
      <sz val="10"/>
      <color rgb="FF000000"/>
      <name val="Barlow"/>
    </font>
    <font>
      <sz val="10"/>
      <color rgb="FFFFFFFF"/>
      <name val="Barlow"/>
    </font>
    <font>
      <sz val="10"/>
      <color rgb="FF262626"/>
      <name val="Barlow"/>
    </font>
    <font>
      <b/>
      <sz val="10"/>
      <color rgb="FF000000"/>
      <name val="Barlow"/>
    </font>
    <font>
      <sz val="8"/>
      <color rgb="FF000000"/>
      <name val="Barlow"/>
    </font>
    <font>
      <sz val="10"/>
      <color theme="0"/>
      <name val="Barlow"/>
    </font>
    <font>
      <sz val="12"/>
      <name val="Calibri"/>
      <family val="2"/>
    </font>
    <font>
      <sz val="10"/>
      <color rgb="FFFFFFFF"/>
      <name val="Arial"/>
      <family val="2"/>
    </font>
    <font>
      <b/>
      <sz val="10"/>
      <color rgb="FFFFFFFF"/>
      <name val="Barlow"/>
    </font>
    <font>
      <sz val="10"/>
      <name val="Calibri"/>
      <family val="2"/>
    </font>
    <font>
      <b/>
      <sz val="10"/>
      <color theme="0"/>
      <name val="Barlow"/>
    </font>
    <font>
      <sz val="8"/>
      <color rgb="FFFFFFFF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b/>
      <sz val="8"/>
      <color rgb="FFFFFFFF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CE6F1"/>
        <bgColor rgb="FF000000"/>
      </patternFill>
    </fill>
    <fill>
      <patternFill patternType="solid">
        <fgColor rgb="FF366092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B8CCE4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366092"/>
        <bgColor rgb="FF366092"/>
      </patternFill>
    </fill>
    <fill>
      <patternFill patternType="solid">
        <fgColor rgb="FFB8CCE4"/>
        <bgColor rgb="FFB8CCE4"/>
      </patternFill>
    </fill>
    <fill>
      <patternFill patternType="solid">
        <fgColor rgb="FFDBE5F1"/>
        <bgColor rgb="FFDBE5F1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249977111117893"/>
        <bgColor indexed="64"/>
      </patternFill>
    </fill>
  </fills>
  <borders count="66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0"/>
      </left>
      <right/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/>
      <right style="medium">
        <color rgb="FFFFFFFF"/>
      </right>
      <top/>
      <bottom/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/>
      <bottom style="medium">
        <color rgb="FFFFFFFF"/>
      </bottom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404040"/>
      </bottom>
      <diagonal/>
    </border>
    <border>
      <left/>
      <right style="medium">
        <color rgb="FFFFFFFF"/>
      </right>
      <top/>
      <bottom style="medium">
        <color rgb="FF404040"/>
      </bottom>
      <diagonal/>
    </border>
    <border>
      <left/>
      <right/>
      <top/>
      <bottom style="medium">
        <color rgb="FF404040"/>
      </bottom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/>
      <bottom/>
      <diagonal/>
    </border>
    <border>
      <left/>
      <right/>
      <top style="medium">
        <color rgb="FF404040"/>
      </top>
      <bottom style="medium">
        <color rgb="FF404040"/>
      </bottom>
      <diagonal/>
    </border>
    <border>
      <left/>
      <right/>
      <top style="medium">
        <color rgb="FF40404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 tint="0.14999847407452621"/>
      </bottom>
      <diagonal/>
    </border>
  </borders>
  <cellStyleXfs count="81">
    <xf numFmtId="0" fontId="0" fillId="0" borderId="0"/>
    <xf numFmtId="0" fontId="2" fillId="0" borderId="0"/>
    <xf numFmtId="9" fontId="6" fillId="0" borderId="0" applyFont="0" applyFill="0" applyBorder="0" applyAlignment="0" applyProtection="0"/>
    <xf numFmtId="0" fontId="3" fillId="0" borderId="0"/>
    <xf numFmtId="164" fontId="17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0" borderId="0"/>
    <xf numFmtId="0" fontId="19" fillId="0" borderId="0"/>
    <xf numFmtId="0" fontId="3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3" fillId="0" borderId="0"/>
    <xf numFmtId="179" fontId="3" fillId="0" borderId="0" applyFont="0" applyFill="0" applyBorder="0" applyAlignment="0" applyProtection="0"/>
  </cellStyleXfs>
  <cellXfs count="562">
    <xf numFmtId="0" fontId="0" fillId="0" borderId="0" xfId="0"/>
    <xf numFmtId="0" fontId="7" fillId="3" borderId="1" xfId="0" applyFont="1" applyFill="1" applyBorder="1" applyAlignment="1">
      <alignment horizontal="center" vertical="center" wrapText="1"/>
    </xf>
    <xf numFmtId="3" fontId="9" fillId="4" borderId="3" xfId="0" applyNumberFormat="1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3" fontId="9" fillId="2" borderId="0" xfId="0" applyNumberFormat="1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3" fontId="12" fillId="4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3" fontId="12" fillId="0" borderId="0" xfId="0" applyNumberFormat="1" applyFont="1" applyAlignment="1">
      <alignment horizontal="center" vertical="center" wrapText="1"/>
    </xf>
    <xf numFmtId="3" fontId="12" fillId="7" borderId="0" xfId="0" applyNumberFormat="1" applyFont="1" applyFill="1" applyAlignment="1">
      <alignment horizontal="center" vertical="center" wrapText="1"/>
    </xf>
    <xf numFmtId="3" fontId="12" fillId="7" borderId="3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67" fontId="12" fillId="7" borderId="3" xfId="0" applyNumberFormat="1" applyFont="1" applyFill="1" applyBorder="1" applyAlignment="1">
      <alignment horizontal="center" vertical="center" wrapText="1"/>
    </xf>
    <xf numFmtId="0" fontId="7" fillId="3" borderId="1" xfId="3" applyFont="1" applyFill="1" applyBorder="1" applyAlignment="1">
      <alignment horizontal="center" vertical="center" wrapText="1"/>
    </xf>
    <xf numFmtId="0" fontId="3" fillId="0" borderId="0" xfId="3"/>
    <xf numFmtId="3" fontId="12" fillId="0" borderId="3" xfId="0" applyNumberFormat="1" applyFont="1" applyBorder="1" applyAlignment="1">
      <alignment horizontal="center" vertical="center" wrapText="1"/>
    </xf>
    <xf numFmtId="4" fontId="7" fillId="3" borderId="1" xfId="3" applyNumberFormat="1" applyFont="1" applyFill="1" applyBorder="1" applyAlignment="1">
      <alignment horizontal="center" vertical="center" wrapText="1"/>
    </xf>
    <xf numFmtId="4" fontId="9" fillId="4" borderId="3" xfId="3" applyNumberFormat="1" applyFont="1" applyFill="1" applyBorder="1" applyAlignment="1">
      <alignment horizontal="center" vertical="center" wrapText="1"/>
    </xf>
    <xf numFmtId="9" fontId="0" fillId="0" borderId="0" xfId="2" applyFont="1"/>
    <xf numFmtId="9" fontId="12" fillId="7" borderId="3" xfId="2" applyFont="1" applyFill="1" applyBorder="1" applyAlignment="1">
      <alignment horizontal="center" vertical="center" wrapText="1"/>
    </xf>
    <xf numFmtId="9" fontId="9" fillId="4" borderId="3" xfId="2" applyFont="1" applyFill="1" applyBorder="1" applyAlignment="1">
      <alignment horizontal="center" vertical="center" wrapText="1"/>
    </xf>
    <xf numFmtId="0" fontId="7" fillId="8" borderId="1" xfId="3" applyFont="1" applyFill="1" applyBorder="1" applyAlignment="1">
      <alignment horizontal="right" vertical="center" wrapText="1"/>
    </xf>
    <xf numFmtId="0" fontId="14" fillId="0" borderId="0" xfId="0" applyFont="1"/>
    <xf numFmtId="168" fontId="12" fillId="7" borderId="3" xfId="0" applyNumberFormat="1" applyFont="1" applyFill="1" applyBorder="1" applyAlignment="1">
      <alignment horizontal="center" vertical="center" wrapText="1"/>
    </xf>
    <xf numFmtId="10" fontId="12" fillId="7" borderId="3" xfId="2" applyNumberFormat="1" applyFont="1" applyFill="1" applyBorder="1" applyAlignment="1">
      <alignment horizontal="center" vertical="center" wrapText="1"/>
    </xf>
    <xf numFmtId="4" fontId="0" fillId="0" borderId="0" xfId="0" applyNumberFormat="1"/>
    <xf numFmtId="2" fontId="12" fillId="7" borderId="3" xfId="0" applyNumberFormat="1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10" fillId="7" borderId="1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left"/>
    </xf>
    <xf numFmtId="169" fontId="0" fillId="9" borderId="15" xfId="0" applyNumberFormat="1" applyFill="1" applyBorder="1" applyProtection="1">
      <protection locked="0"/>
    </xf>
    <xf numFmtId="0" fontId="0" fillId="9" borderId="15" xfId="0" applyFill="1" applyBorder="1" applyProtection="1">
      <protection locked="0"/>
    </xf>
    <xf numFmtId="0" fontId="11" fillId="4" borderId="3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11" fillId="8" borderId="3" xfId="0" applyNumberFormat="1" applyFont="1" applyFill="1" applyBorder="1" applyAlignment="1">
      <alignment horizontal="center" vertical="center" wrapText="1"/>
    </xf>
    <xf numFmtId="0" fontId="23" fillId="0" borderId="0" xfId="0" applyFont="1"/>
    <xf numFmtId="169" fontId="3" fillId="9" borderId="15" xfId="0" applyNumberFormat="1" applyFont="1" applyFill="1" applyBorder="1" applyProtection="1">
      <protection locked="0"/>
    </xf>
    <xf numFmtId="3" fontId="9" fillId="4" borderId="3" xfId="2" applyNumberFormat="1" applyFont="1" applyFill="1" applyBorder="1" applyAlignment="1">
      <alignment horizontal="center" vertical="center" wrapText="1"/>
    </xf>
    <xf numFmtId="167" fontId="25" fillId="4" borderId="3" xfId="0" applyNumberFormat="1" applyFont="1" applyFill="1" applyBorder="1" applyAlignment="1">
      <alignment horizontal="center" vertical="center" wrapText="1"/>
    </xf>
    <xf numFmtId="9" fontId="0" fillId="9" borderId="15" xfId="2" applyFont="1" applyFill="1" applyBorder="1" applyAlignment="1" applyProtection="1">
      <protection locked="0"/>
    </xf>
    <xf numFmtId="0" fontId="26" fillId="0" borderId="0" xfId="0" applyFont="1"/>
    <xf numFmtId="9" fontId="9" fillId="7" borderId="3" xfId="2" applyFont="1" applyFill="1" applyBorder="1" applyAlignment="1">
      <alignment horizontal="center" vertical="center" wrapText="1"/>
    </xf>
    <xf numFmtId="0" fontId="28" fillId="14" borderId="25" xfId="0" applyFont="1" applyFill="1" applyBorder="1" applyAlignment="1">
      <alignment horizontal="center" vertical="center" wrapText="1"/>
    </xf>
    <xf numFmtId="3" fontId="28" fillId="14" borderId="26" xfId="0" applyNumberFormat="1" applyFont="1" applyFill="1" applyBorder="1" applyAlignment="1">
      <alignment horizontal="center" vertical="center" wrapText="1"/>
    </xf>
    <xf numFmtId="3" fontId="28" fillId="14" borderId="24" xfId="0" applyNumberFormat="1" applyFont="1" applyFill="1" applyBorder="1" applyAlignment="1">
      <alignment horizontal="center" vertical="center" wrapText="1"/>
    </xf>
    <xf numFmtId="0" fontId="28" fillId="14" borderId="24" xfId="0" applyFont="1" applyFill="1" applyBorder="1" applyAlignment="1">
      <alignment horizontal="center" vertical="center" wrapText="1"/>
    </xf>
    <xf numFmtId="9" fontId="24" fillId="13" borderId="23" xfId="0" applyNumberFormat="1" applyFont="1" applyFill="1" applyBorder="1" applyAlignment="1">
      <alignment horizontal="center" vertical="center" wrapText="1"/>
    </xf>
    <xf numFmtId="3" fontId="29" fillId="16" borderId="0" xfId="0" applyNumberFormat="1" applyFont="1" applyFill="1" applyAlignment="1">
      <alignment horizontal="center" vertical="center" wrapText="1"/>
    </xf>
    <xf numFmtId="0" fontId="28" fillId="14" borderId="0" xfId="0" applyFont="1" applyFill="1" applyAlignment="1">
      <alignment horizontal="center" vertical="center" wrapText="1"/>
    </xf>
    <xf numFmtId="3" fontId="11" fillId="4" borderId="3" xfId="0" applyNumberFormat="1" applyFont="1" applyFill="1" applyBorder="1" applyAlignment="1">
      <alignment horizontal="right" vertical="center" wrapText="1"/>
    </xf>
    <xf numFmtId="9" fontId="10" fillId="4" borderId="3" xfId="2" applyFont="1" applyFill="1" applyBorder="1" applyAlignment="1">
      <alignment horizontal="right" vertical="center" wrapText="1"/>
    </xf>
    <xf numFmtId="3" fontId="10" fillId="4" borderId="3" xfId="0" applyNumberFormat="1" applyFont="1" applyFill="1" applyBorder="1" applyAlignment="1">
      <alignment horizontal="right" vertical="center" wrapText="1"/>
    </xf>
    <xf numFmtId="169" fontId="10" fillId="4" borderId="3" xfId="0" applyNumberFormat="1" applyFont="1" applyFill="1" applyBorder="1" applyAlignment="1">
      <alignment horizontal="right" vertical="center" wrapText="1"/>
    </xf>
    <xf numFmtId="4" fontId="10" fillId="4" borderId="3" xfId="0" applyNumberFormat="1" applyFont="1" applyFill="1" applyBorder="1" applyAlignment="1">
      <alignment horizontal="right" vertical="center" wrapText="1"/>
    </xf>
    <xf numFmtId="3" fontId="12" fillId="7" borderId="3" xfId="0" applyNumberFormat="1" applyFont="1" applyFill="1" applyBorder="1" applyAlignment="1">
      <alignment horizontal="right" vertical="center" wrapText="1"/>
    </xf>
    <xf numFmtId="0" fontId="30" fillId="0" borderId="0" xfId="0" applyFont="1"/>
    <xf numFmtId="0" fontId="13" fillId="3" borderId="6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left"/>
    </xf>
    <xf numFmtId="3" fontId="9" fillId="15" borderId="3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9" fillId="18" borderId="3" xfId="0" applyNumberFormat="1" applyFont="1" applyFill="1" applyBorder="1" applyAlignment="1">
      <alignment horizontal="center" vertical="center" wrapText="1"/>
    </xf>
    <xf numFmtId="0" fontId="23" fillId="2" borderId="0" xfId="0" applyFont="1" applyFill="1"/>
    <xf numFmtId="9" fontId="13" fillId="2" borderId="3" xfId="2" applyFont="1" applyFill="1" applyBorder="1" applyAlignment="1">
      <alignment horizontal="center" vertical="center" wrapText="1"/>
    </xf>
    <xf numFmtId="4" fontId="9" fillId="18" borderId="3" xfId="3" applyNumberFormat="1" applyFont="1" applyFill="1" applyBorder="1" applyAlignment="1">
      <alignment horizontal="center" vertical="center" wrapText="1"/>
    </xf>
    <xf numFmtId="0" fontId="35" fillId="19" borderId="4" xfId="0" applyFont="1" applyFill="1" applyBorder="1" applyAlignment="1">
      <alignment horizontal="center" vertical="center"/>
    </xf>
    <xf numFmtId="0" fontId="36" fillId="0" borderId="0" xfId="0" applyFont="1"/>
    <xf numFmtId="0" fontId="37" fillId="0" borderId="0" xfId="0" applyFont="1"/>
    <xf numFmtId="0" fontId="7" fillId="0" borderId="0" xfId="0" applyFont="1" applyAlignment="1">
      <alignment horizontal="center" vertical="center" wrapText="1"/>
    </xf>
    <xf numFmtId="9" fontId="38" fillId="0" borderId="0" xfId="2" applyFont="1" applyFill="1" applyBorder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9" fontId="13" fillId="2" borderId="0" xfId="2" applyFont="1" applyFill="1" applyBorder="1" applyAlignment="1">
      <alignment horizontal="center" vertical="center" wrapText="1"/>
    </xf>
    <xf numFmtId="4" fontId="3" fillId="0" borderId="0" xfId="3" applyNumberFormat="1"/>
    <xf numFmtId="173" fontId="3" fillId="0" borderId="0" xfId="74" applyNumberFormat="1" applyFont="1"/>
    <xf numFmtId="173" fontId="3" fillId="0" borderId="0" xfId="3" applyNumberFormat="1"/>
    <xf numFmtId="1" fontId="0" fillId="0" borderId="0" xfId="0" applyNumberFormat="1"/>
    <xf numFmtId="173" fontId="9" fillId="4" borderId="3" xfId="74" applyNumberFormat="1" applyFont="1" applyFill="1" applyBorder="1" applyAlignment="1">
      <alignment horizontal="center" vertical="center" wrapText="1"/>
    </xf>
    <xf numFmtId="173" fontId="12" fillId="7" borderId="3" xfId="74" applyNumberFormat="1" applyFont="1" applyFill="1" applyBorder="1" applyAlignment="1">
      <alignment horizontal="center" vertical="center" wrapText="1"/>
    </xf>
    <xf numFmtId="174" fontId="9" fillId="4" borderId="3" xfId="0" applyNumberFormat="1" applyFont="1" applyFill="1" applyBorder="1" applyAlignment="1">
      <alignment horizontal="center" vertical="center" wrapText="1"/>
    </xf>
    <xf numFmtId="174" fontId="12" fillId="7" borderId="3" xfId="0" applyNumberFormat="1" applyFont="1" applyFill="1" applyBorder="1" applyAlignment="1">
      <alignment horizontal="center" vertical="center" wrapText="1"/>
    </xf>
    <xf numFmtId="173" fontId="9" fillId="18" borderId="3" xfId="74" applyNumberFormat="1" applyFont="1" applyFill="1" applyBorder="1" applyAlignment="1">
      <alignment horizontal="center" vertical="center" wrapText="1"/>
    </xf>
    <xf numFmtId="3" fontId="7" fillId="3" borderId="1" xfId="3" applyNumberFormat="1" applyFont="1" applyFill="1" applyBorder="1" applyAlignment="1">
      <alignment horizontal="center" vertical="center" wrapText="1"/>
    </xf>
    <xf numFmtId="9" fontId="11" fillId="0" borderId="0" xfId="2" applyFont="1" applyAlignment="1">
      <alignment horizontal="center" vertical="center" wrapText="1"/>
    </xf>
    <xf numFmtId="166" fontId="0" fillId="0" borderId="0" xfId="0" applyNumberFormat="1" applyAlignment="1">
      <alignment horizontal="center"/>
    </xf>
    <xf numFmtId="10" fontId="11" fillId="0" borderId="0" xfId="2" applyNumberFormat="1" applyFont="1" applyAlignment="1">
      <alignment horizontal="center" vertical="center" wrapText="1"/>
    </xf>
    <xf numFmtId="44" fontId="9" fillId="15" borderId="3" xfId="74" applyFont="1" applyFill="1" applyBorder="1" applyAlignment="1">
      <alignment horizontal="center" vertical="center" wrapText="1"/>
    </xf>
    <xf numFmtId="3" fontId="12" fillId="4" borderId="3" xfId="2" applyNumberFormat="1" applyFont="1" applyFill="1" applyBorder="1" applyAlignment="1">
      <alignment horizontal="center" vertical="center" wrapText="1"/>
    </xf>
    <xf numFmtId="44" fontId="11" fillId="18" borderId="3" xfId="74" applyFont="1" applyFill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175" fontId="12" fillId="4" borderId="3" xfId="2" applyNumberFormat="1" applyFont="1" applyFill="1" applyBorder="1" applyAlignment="1">
      <alignment horizontal="center" vertical="center" wrapText="1"/>
    </xf>
    <xf numFmtId="3" fontId="13" fillId="20" borderId="4" xfId="0" applyNumberFormat="1" applyFont="1" applyFill="1" applyBorder="1" applyAlignment="1">
      <alignment horizontal="center" vertical="center" wrapText="1"/>
    </xf>
    <xf numFmtId="3" fontId="9" fillId="4" borderId="4" xfId="0" applyNumberFormat="1" applyFont="1" applyFill="1" applyBorder="1" applyAlignment="1">
      <alignment horizontal="center" vertical="center"/>
    </xf>
    <xf numFmtId="166" fontId="9" fillId="4" borderId="3" xfId="2" applyNumberFormat="1" applyFont="1" applyFill="1" applyBorder="1" applyAlignment="1">
      <alignment horizontal="center" vertical="center" wrapText="1"/>
    </xf>
    <xf numFmtId="3" fontId="12" fillId="21" borderId="0" xfId="0" applyNumberFormat="1" applyFont="1" applyFill="1" applyAlignment="1">
      <alignment horizontal="center" vertical="center" wrapText="1"/>
    </xf>
    <xf numFmtId="165" fontId="12" fillId="4" borderId="3" xfId="2" applyNumberFormat="1" applyFont="1" applyFill="1" applyBorder="1" applyAlignment="1">
      <alignment horizontal="center" vertical="center" wrapText="1"/>
    </xf>
    <xf numFmtId="10" fontId="9" fillId="22" borderId="3" xfId="0" applyNumberFormat="1" applyFont="1" applyFill="1" applyBorder="1" applyAlignment="1">
      <alignment horizontal="center" vertical="center" wrapText="1"/>
    </xf>
    <xf numFmtId="166" fontId="10" fillId="17" borderId="3" xfId="2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vertical="center" wrapText="1"/>
    </xf>
    <xf numFmtId="0" fontId="29" fillId="0" borderId="4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9" fillId="0" borderId="4" xfId="0" applyFont="1" applyBorder="1" applyAlignment="1">
      <alignment horizontal="center" vertical="center" wrapText="1"/>
    </xf>
    <xf numFmtId="165" fontId="24" fillId="0" borderId="4" xfId="0" applyNumberFormat="1" applyFont="1" applyBorder="1" applyAlignment="1">
      <alignment horizontal="center" vertical="center"/>
    </xf>
    <xf numFmtId="2" fontId="41" fillId="0" borderId="4" xfId="0" applyNumberFormat="1" applyFont="1" applyBorder="1" applyAlignment="1">
      <alignment horizontal="center" vertical="center"/>
    </xf>
    <xf numFmtId="0" fontId="24" fillId="10" borderId="4" xfId="0" applyFont="1" applyFill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2" fontId="24" fillId="0" borderId="4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9" fillId="0" borderId="31" xfId="0" applyFont="1" applyBorder="1" applyAlignment="1">
      <alignment horizontal="center" vertical="center"/>
    </xf>
    <xf numFmtId="0" fontId="29" fillId="0" borderId="33" xfId="0" applyFont="1" applyBorder="1" applyAlignment="1">
      <alignment horizontal="center" vertical="center"/>
    </xf>
    <xf numFmtId="0" fontId="29" fillId="0" borderId="31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17" fontId="9" fillId="0" borderId="31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1" fontId="9" fillId="0" borderId="32" xfId="0" applyNumberFormat="1" applyFont="1" applyBorder="1" applyAlignment="1">
      <alignment horizontal="center" vertical="center"/>
    </xf>
    <xf numFmtId="1" fontId="24" fillId="0" borderId="32" xfId="0" applyNumberFormat="1" applyFont="1" applyBorder="1" applyAlignment="1">
      <alignment horizontal="center" vertical="center"/>
    </xf>
    <xf numFmtId="1" fontId="24" fillId="0" borderId="33" xfId="0" applyNumberFormat="1" applyFont="1" applyBorder="1" applyAlignment="1">
      <alignment horizontal="center" vertical="center"/>
    </xf>
    <xf numFmtId="1" fontId="24" fillId="0" borderId="31" xfId="0" applyNumberFormat="1" applyFont="1" applyBorder="1" applyAlignment="1">
      <alignment horizontal="center" vertical="center"/>
    </xf>
    <xf numFmtId="9" fontId="24" fillId="0" borderId="32" xfId="2" applyFont="1" applyBorder="1" applyAlignment="1">
      <alignment horizontal="center" vertical="center"/>
    </xf>
    <xf numFmtId="165" fontId="24" fillId="0" borderId="31" xfId="2" applyNumberFormat="1" applyFont="1" applyBorder="1" applyAlignment="1">
      <alignment horizontal="center" vertical="center"/>
    </xf>
    <xf numFmtId="165" fontId="24" fillId="0" borderId="33" xfId="2" applyNumberFormat="1" applyFont="1" applyBorder="1" applyAlignment="1">
      <alignment horizontal="center" vertical="center"/>
    </xf>
    <xf numFmtId="2" fontId="9" fillId="0" borderId="31" xfId="0" applyNumberFormat="1" applyFont="1" applyBorder="1" applyAlignment="1">
      <alignment horizontal="center" vertical="center"/>
    </xf>
    <xf numFmtId="2" fontId="9" fillId="0" borderId="33" xfId="0" applyNumberFormat="1" applyFont="1" applyBorder="1" applyAlignment="1">
      <alignment horizontal="center" vertical="center"/>
    </xf>
    <xf numFmtId="17" fontId="9" fillId="0" borderId="35" xfId="0" applyNumberFormat="1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1" fontId="24" fillId="0" borderId="0" xfId="0" applyNumberFormat="1" applyFont="1" applyAlignment="1">
      <alignment horizontal="center" vertical="center"/>
    </xf>
    <xf numFmtId="1" fontId="24" fillId="0" borderId="36" xfId="0" applyNumberFormat="1" applyFont="1" applyBorder="1" applyAlignment="1">
      <alignment horizontal="center" vertical="center"/>
    </xf>
    <xf numFmtId="1" fontId="24" fillId="0" borderId="35" xfId="0" applyNumberFormat="1" applyFont="1" applyBorder="1" applyAlignment="1">
      <alignment horizontal="center" vertical="center"/>
    </xf>
    <xf numFmtId="9" fontId="24" fillId="0" borderId="0" xfId="2" applyFont="1" applyBorder="1" applyAlignment="1">
      <alignment horizontal="center" vertical="center"/>
    </xf>
    <xf numFmtId="165" fontId="24" fillId="0" borderId="35" xfId="2" applyNumberFormat="1" applyFont="1" applyBorder="1" applyAlignment="1">
      <alignment horizontal="center" vertical="center"/>
    </xf>
    <xf numFmtId="165" fontId="24" fillId="0" borderId="36" xfId="2" applyNumberFormat="1" applyFont="1" applyBorder="1" applyAlignment="1">
      <alignment horizontal="center" vertical="center"/>
    </xf>
    <xf numFmtId="2" fontId="9" fillId="0" borderId="35" xfId="0" applyNumberFormat="1" applyFont="1" applyBorder="1" applyAlignment="1">
      <alignment horizontal="center" vertical="center"/>
    </xf>
    <xf numFmtId="2" fontId="9" fillId="0" borderId="36" xfId="0" applyNumberFormat="1" applyFont="1" applyBorder="1" applyAlignment="1">
      <alignment horizontal="center" vertical="center"/>
    </xf>
    <xf numFmtId="0" fontId="24" fillId="0" borderId="35" xfId="0" applyFont="1" applyBorder="1" applyAlignment="1">
      <alignment horizontal="center" vertical="center"/>
    </xf>
    <xf numFmtId="17" fontId="9" fillId="0" borderId="3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0" fontId="24" fillId="0" borderId="30" xfId="0" applyFont="1" applyBorder="1" applyAlignment="1">
      <alignment horizontal="center" vertical="center"/>
    </xf>
    <xf numFmtId="1" fontId="9" fillId="0" borderId="30" xfId="0" applyNumberFormat="1" applyFont="1" applyBorder="1" applyAlignment="1">
      <alignment horizontal="center" vertical="center"/>
    </xf>
    <xf numFmtId="1" fontId="24" fillId="0" borderId="30" xfId="0" applyNumberFormat="1" applyFont="1" applyBorder="1" applyAlignment="1">
      <alignment horizontal="center" vertical="center"/>
    </xf>
    <xf numFmtId="1" fontId="24" fillId="0" borderId="37" xfId="0" applyNumberFormat="1" applyFont="1" applyBorder="1" applyAlignment="1">
      <alignment horizontal="center" vertical="center"/>
    </xf>
    <xf numFmtId="1" fontId="24" fillId="0" borderId="34" xfId="0" applyNumberFormat="1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9" fontId="24" fillId="0" borderId="30" xfId="2" applyFont="1" applyBorder="1" applyAlignment="1">
      <alignment horizontal="center" vertical="center"/>
    </xf>
    <xf numFmtId="165" fontId="24" fillId="0" borderId="34" xfId="2" applyNumberFormat="1" applyFont="1" applyBorder="1" applyAlignment="1">
      <alignment horizontal="center" vertical="center"/>
    </xf>
    <xf numFmtId="165" fontId="24" fillId="0" borderId="37" xfId="2" applyNumberFormat="1" applyFont="1" applyBorder="1" applyAlignment="1">
      <alignment horizontal="center" vertical="center"/>
    </xf>
    <xf numFmtId="2" fontId="9" fillId="0" borderId="34" xfId="0" applyNumberFormat="1" applyFont="1" applyBorder="1" applyAlignment="1">
      <alignment horizontal="center" vertical="center"/>
    </xf>
    <xf numFmtId="2" fontId="9" fillId="0" borderId="37" xfId="0" applyNumberFormat="1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3" fontId="11" fillId="8" borderId="20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3" fontId="11" fillId="0" borderId="0" xfId="0" applyNumberFormat="1" applyFont="1" applyAlignment="1">
      <alignment horizontal="right" vertical="center" wrapText="1"/>
    </xf>
    <xf numFmtId="0" fontId="13" fillId="3" borderId="10" xfId="0" applyFont="1" applyFill="1" applyBorder="1" applyAlignment="1">
      <alignment horizontal="center" vertical="center" wrapText="1"/>
    </xf>
    <xf numFmtId="168" fontId="10" fillId="4" borderId="20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169" fontId="9" fillId="0" borderId="0" xfId="0" applyNumberFormat="1" applyFont="1" applyAlignment="1">
      <alignment horizontal="center" vertical="center" wrapText="1"/>
    </xf>
    <xf numFmtId="169" fontId="12" fillId="0" borderId="0" xfId="0" applyNumberFormat="1" applyFont="1" applyAlignment="1">
      <alignment horizontal="center" vertical="center" wrapText="1"/>
    </xf>
    <xf numFmtId="3" fontId="12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3" fontId="12" fillId="7" borderId="1" xfId="0" applyNumberFormat="1" applyFont="1" applyFill="1" applyBorder="1" applyAlignment="1">
      <alignment horizontal="center" vertical="center" wrapText="1"/>
    </xf>
    <xf numFmtId="9" fontId="24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/>
    </xf>
    <xf numFmtId="0" fontId="29" fillId="0" borderId="27" xfId="0" applyFont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9" fontId="24" fillId="0" borderId="33" xfId="2" applyFont="1" applyBorder="1" applyAlignment="1">
      <alignment horizontal="center" vertical="center"/>
    </xf>
    <xf numFmtId="9" fontId="24" fillId="0" borderId="36" xfId="2" applyFont="1" applyBorder="1" applyAlignment="1">
      <alignment horizontal="center" vertical="center"/>
    </xf>
    <xf numFmtId="9" fontId="24" fillId="0" borderId="37" xfId="2" applyFont="1" applyBorder="1" applyAlignment="1">
      <alignment horizontal="center" vertical="center"/>
    </xf>
    <xf numFmtId="9" fontId="24" fillId="0" borderId="31" xfId="2" applyFont="1" applyBorder="1" applyAlignment="1">
      <alignment horizontal="center" vertical="center"/>
    </xf>
    <xf numFmtId="9" fontId="24" fillId="0" borderId="35" xfId="2" applyFont="1" applyBorder="1" applyAlignment="1">
      <alignment horizontal="center" vertical="center"/>
    </xf>
    <xf numFmtId="9" fontId="24" fillId="0" borderId="34" xfId="2" applyFont="1" applyBorder="1" applyAlignment="1">
      <alignment horizontal="center" vertical="center"/>
    </xf>
    <xf numFmtId="2" fontId="24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165" fontId="12" fillId="7" borderId="3" xfId="2" applyNumberFormat="1" applyFont="1" applyFill="1" applyBorder="1" applyAlignment="1">
      <alignment horizontal="center" vertical="center" wrapText="1"/>
    </xf>
    <xf numFmtId="9" fontId="24" fillId="0" borderId="0" xfId="2" applyFont="1" applyFill="1" applyBorder="1" applyAlignment="1">
      <alignment horizontal="center" vertical="center"/>
    </xf>
    <xf numFmtId="0" fontId="3" fillId="4" borderId="13" xfId="0" applyFont="1" applyFill="1" applyBorder="1"/>
    <xf numFmtId="0" fontId="0" fillId="4" borderId="13" xfId="74" applyNumberFormat="1" applyFont="1" applyFill="1" applyBorder="1"/>
    <xf numFmtId="9" fontId="12" fillId="0" borderId="3" xfId="2" applyFont="1" applyFill="1" applyBorder="1" applyAlignment="1">
      <alignment horizontal="center" vertical="center" wrapText="1"/>
    </xf>
    <xf numFmtId="9" fontId="0" fillId="0" borderId="15" xfId="2" applyFont="1" applyFill="1" applyBorder="1" applyAlignment="1" applyProtection="1">
      <protection locked="0"/>
    </xf>
    <xf numFmtId="44" fontId="11" fillId="0" borderId="0" xfId="74" applyFont="1" applyAlignment="1">
      <alignment horizontal="center" vertical="center" wrapText="1"/>
    </xf>
    <xf numFmtId="9" fontId="13" fillId="0" borderId="1" xfId="2" applyFont="1" applyFill="1" applyBorder="1" applyAlignment="1">
      <alignment horizontal="center" vertical="center" wrapText="1"/>
    </xf>
    <xf numFmtId="9" fontId="13" fillId="0" borderId="9" xfId="2" applyFont="1" applyFill="1" applyBorder="1" applyAlignment="1">
      <alignment horizontal="center" vertical="center" wrapText="1"/>
    </xf>
    <xf numFmtId="173" fontId="12" fillId="7" borderId="20" xfId="74" applyNumberFormat="1" applyFont="1" applyFill="1" applyBorder="1" applyAlignment="1">
      <alignment horizontal="center" vertical="center" wrapText="1"/>
    </xf>
    <xf numFmtId="3" fontId="9" fillId="18" borderId="20" xfId="0" applyNumberFormat="1" applyFont="1" applyFill="1" applyBorder="1" applyAlignment="1">
      <alignment horizontal="center" vertical="center" wrapText="1"/>
    </xf>
    <xf numFmtId="3" fontId="12" fillId="7" borderId="27" xfId="0" applyNumberFormat="1" applyFont="1" applyFill="1" applyBorder="1" applyAlignment="1">
      <alignment horizontal="center" vertical="center" wrapText="1"/>
    </xf>
    <xf numFmtId="3" fontId="12" fillId="7" borderId="28" xfId="0" applyNumberFormat="1" applyFont="1" applyFill="1" applyBorder="1" applyAlignment="1">
      <alignment horizontal="center" vertical="center" wrapText="1"/>
    </xf>
    <xf numFmtId="3" fontId="12" fillId="7" borderId="29" xfId="0" applyNumberFormat="1" applyFont="1" applyFill="1" applyBorder="1" applyAlignment="1">
      <alignment horizontal="center" vertical="center" wrapText="1"/>
    </xf>
    <xf numFmtId="3" fontId="12" fillId="7" borderId="20" xfId="0" applyNumberFormat="1" applyFont="1" applyFill="1" applyBorder="1" applyAlignment="1">
      <alignment horizontal="center" vertical="center" wrapText="1"/>
    </xf>
    <xf numFmtId="3" fontId="12" fillId="7" borderId="39" xfId="0" applyNumberFormat="1" applyFont="1" applyFill="1" applyBorder="1" applyAlignment="1">
      <alignment horizontal="center" vertical="center" wrapText="1"/>
    </xf>
    <xf numFmtId="3" fontId="12" fillId="7" borderId="40" xfId="0" applyNumberFormat="1" applyFont="1" applyFill="1" applyBorder="1" applyAlignment="1">
      <alignment horizontal="center" vertical="center" wrapText="1"/>
    </xf>
    <xf numFmtId="3" fontId="12" fillId="7" borderId="41" xfId="0" applyNumberFormat="1" applyFont="1" applyFill="1" applyBorder="1" applyAlignment="1">
      <alignment horizontal="center" vertical="center" wrapText="1"/>
    </xf>
    <xf numFmtId="0" fontId="3" fillId="0" borderId="0" xfId="71"/>
    <xf numFmtId="0" fontId="23" fillId="0" borderId="0" xfId="71" applyFont="1"/>
    <xf numFmtId="0" fontId="3" fillId="4" borderId="18" xfId="71" applyFill="1" applyBorder="1" applyAlignment="1">
      <alignment horizontal="left"/>
    </xf>
    <xf numFmtId="0" fontId="3" fillId="4" borderId="13" xfId="71" applyFill="1" applyBorder="1" applyAlignment="1">
      <alignment horizontal="left"/>
    </xf>
    <xf numFmtId="0" fontId="3" fillId="4" borderId="13" xfId="71" applyFill="1" applyBorder="1" applyAlignment="1">
      <alignment horizontal="left" wrapText="1"/>
    </xf>
    <xf numFmtId="0" fontId="3" fillId="0" borderId="0" xfId="71" applyAlignment="1">
      <alignment horizontal="left"/>
    </xf>
    <xf numFmtId="0" fontId="32" fillId="6" borderId="0" xfId="71" applyFont="1" applyFill="1" applyAlignment="1">
      <alignment horizontal="left"/>
    </xf>
    <xf numFmtId="0" fontId="3" fillId="6" borderId="0" xfId="71" applyFill="1"/>
    <xf numFmtId="0" fontId="32" fillId="0" borderId="0" xfId="71" applyFont="1"/>
    <xf numFmtId="0" fontId="3" fillId="4" borderId="15" xfId="71" applyFill="1" applyBorder="1" applyAlignment="1">
      <alignment horizontal="left"/>
    </xf>
    <xf numFmtId="0" fontId="3" fillId="4" borderId="15" xfId="71" applyFill="1" applyBorder="1"/>
    <xf numFmtId="44" fontId="3" fillId="0" borderId="0" xfId="75" applyFont="1"/>
    <xf numFmtId="0" fontId="32" fillId="11" borderId="15" xfId="71" applyFont="1" applyFill="1" applyBorder="1"/>
    <xf numFmtId="165" fontId="32" fillId="25" borderId="15" xfId="71" applyNumberFormat="1" applyFont="1" applyFill="1" applyBorder="1"/>
    <xf numFmtId="2" fontId="32" fillId="0" borderId="0" xfId="71" applyNumberFormat="1" applyFont="1"/>
    <xf numFmtId="165" fontId="3" fillId="9" borderId="15" xfId="71" applyNumberFormat="1" applyFill="1" applyBorder="1" applyAlignment="1" applyProtection="1">
      <alignment horizontal="center" vertical="center"/>
      <protection locked="0"/>
    </xf>
    <xf numFmtId="44" fontId="32" fillId="25" borderId="15" xfId="75" applyFont="1" applyFill="1" applyBorder="1" applyAlignment="1">
      <alignment horizontal="right" vertical="center"/>
    </xf>
    <xf numFmtId="3" fontId="32" fillId="0" borderId="0" xfId="71" applyNumberFormat="1" applyFont="1"/>
    <xf numFmtId="0" fontId="3" fillId="11" borderId="15" xfId="71" applyFill="1" applyBorder="1"/>
    <xf numFmtId="165" fontId="3" fillId="25" borderId="15" xfId="71" applyNumberFormat="1" applyFill="1" applyBorder="1" applyAlignment="1">
      <alignment vertical="center"/>
    </xf>
    <xf numFmtId="172" fontId="3" fillId="0" borderId="0" xfId="71" applyNumberFormat="1"/>
    <xf numFmtId="0" fontId="3" fillId="0" borderId="15" xfId="71" applyBorder="1" applyAlignment="1">
      <alignment horizontal="left"/>
    </xf>
    <xf numFmtId="169" fontId="3" fillId="0" borderId="15" xfId="71" applyNumberFormat="1" applyBorder="1" applyProtection="1">
      <protection locked="0"/>
    </xf>
    <xf numFmtId="0" fontId="3" fillId="0" borderId="15" xfId="71" applyBorder="1"/>
    <xf numFmtId="164" fontId="31" fillId="25" borderId="15" xfId="4" applyFont="1" applyFill="1" applyBorder="1" applyAlignment="1">
      <alignment horizontal="right"/>
    </xf>
    <xf numFmtId="1" fontId="3" fillId="0" borderId="0" xfId="71" applyNumberFormat="1"/>
    <xf numFmtId="0" fontId="3" fillId="4" borderId="0" xfId="71" applyFill="1" applyAlignment="1">
      <alignment horizontal="left"/>
    </xf>
    <xf numFmtId="171" fontId="3" fillId="9" borderId="15" xfId="76" applyNumberFormat="1" applyFont="1" applyFill="1" applyBorder="1" applyProtection="1">
      <protection locked="0"/>
    </xf>
    <xf numFmtId="169" fontId="3" fillId="9" borderId="15" xfId="71" applyNumberFormat="1" applyFill="1" applyBorder="1" applyProtection="1">
      <protection locked="0"/>
    </xf>
    <xf numFmtId="171" fontId="3" fillId="0" borderId="0" xfId="76" applyNumberFormat="1" applyFont="1"/>
    <xf numFmtId="2" fontId="3" fillId="9" borderId="15" xfId="71" applyNumberFormat="1" applyFill="1" applyBorder="1" applyProtection="1">
      <protection locked="0"/>
    </xf>
    <xf numFmtId="0" fontId="3" fillId="0" borderId="8" xfId="71" applyBorder="1"/>
    <xf numFmtId="169" fontId="3" fillId="0" borderId="0" xfId="71" applyNumberFormat="1"/>
    <xf numFmtId="0" fontId="33" fillId="12" borderId="17" xfId="71" applyFont="1" applyFill="1" applyBorder="1"/>
    <xf numFmtId="0" fontId="44" fillId="12" borderId="17" xfId="71" applyFont="1" applyFill="1" applyBorder="1" applyAlignment="1">
      <alignment horizontal="center"/>
    </xf>
    <xf numFmtId="0" fontId="44" fillId="12" borderId="13" xfId="71" applyFont="1" applyFill="1" applyBorder="1" applyAlignment="1">
      <alignment horizontal="center"/>
    </xf>
    <xf numFmtId="0" fontId="3" fillId="4" borderId="3" xfId="71" applyFill="1" applyBorder="1"/>
    <xf numFmtId="169" fontId="45" fillId="4" borderId="3" xfId="71" applyNumberFormat="1" applyFont="1" applyFill="1" applyBorder="1" applyAlignment="1">
      <alignment horizontal="right" indent="1"/>
    </xf>
    <xf numFmtId="0" fontId="32" fillId="5" borderId="3" xfId="71" applyFont="1" applyFill="1" applyBorder="1"/>
    <xf numFmtId="169" fontId="46" fillId="5" borderId="3" xfId="71" applyNumberFormat="1" applyFont="1" applyFill="1" applyBorder="1" applyAlignment="1">
      <alignment horizontal="right" indent="1"/>
    </xf>
    <xf numFmtId="0" fontId="47" fillId="4" borderId="3" xfId="71" applyFont="1" applyFill="1" applyBorder="1"/>
    <xf numFmtId="0" fontId="27" fillId="0" borderId="0" xfId="71" applyFont="1"/>
    <xf numFmtId="0" fontId="33" fillId="12" borderId="3" xfId="71" applyFont="1" applyFill="1" applyBorder="1"/>
    <xf numFmtId="0" fontId="44" fillId="12" borderId="3" xfId="71" applyFont="1" applyFill="1" applyBorder="1" applyAlignment="1">
      <alignment horizontal="center"/>
    </xf>
    <xf numFmtId="0" fontId="44" fillId="12" borderId="16" xfId="71" applyFont="1" applyFill="1" applyBorder="1" applyAlignment="1">
      <alignment horizontal="center"/>
    </xf>
    <xf numFmtId="169" fontId="45" fillId="4" borderId="3" xfId="71" applyNumberFormat="1" applyFont="1" applyFill="1" applyBorder="1" applyAlignment="1">
      <alignment horizontal="right"/>
    </xf>
    <xf numFmtId="0" fontId="37" fillId="15" borderId="43" xfId="71" applyFont="1" applyFill="1" applyBorder="1" applyAlignment="1">
      <alignment horizontal="center" vertical="center"/>
    </xf>
    <xf numFmtId="0" fontId="48" fillId="4" borderId="3" xfId="71" applyFont="1" applyFill="1" applyBorder="1" applyAlignment="1">
      <alignment horizontal="left" indent="1"/>
    </xf>
    <xf numFmtId="168" fontId="45" fillId="4" borderId="3" xfId="71" applyNumberFormat="1" applyFont="1" applyFill="1" applyBorder="1" applyAlignment="1">
      <alignment horizontal="right"/>
    </xf>
    <xf numFmtId="167" fontId="45" fillId="4" borderId="3" xfId="71" applyNumberFormat="1" applyFont="1" applyFill="1" applyBorder="1" applyAlignment="1">
      <alignment horizontal="right"/>
    </xf>
    <xf numFmtId="0" fontId="3" fillId="5" borderId="3" xfId="71" applyFill="1" applyBorder="1"/>
    <xf numFmtId="169" fontId="45" fillId="5" borderId="3" xfId="71" applyNumberFormat="1" applyFont="1" applyFill="1" applyBorder="1" applyAlignment="1">
      <alignment horizontal="right"/>
    </xf>
    <xf numFmtId="169" fontId="46" fillId="5" borderId="3" xfId="71" applyNumberFormat="1" applyFont="1" applyFill="1" applyBorder="1" applyAlignment="1">
      <alignment horizontal="right"/>
    </xf>
    <xf numFmtId="0" fontId="33" fillId="12" borderId="38" xfId="71" applyFont="1" applyFill="1" applyBorder="1" applyAlignment="1">
      <alignment horizontal="center"/>
    </xf>
    <xf numFmtId="0" fontId="33" fillId="12" borderId="0" xfId="71" applyFont="1" applyFill="1" applyAlignment="1">
      <alignment horizontal="center"/>
    </xf>
    <xf numFmtId="44" fontId="3" fillId="4" borderId="3" xfId="75" applyFont="1" applyFill="1" applyBorder="1"/>
    <xf numFmtId="3" fontId="3" fillId="0" borderId="0" xfId="71" applyNumberFormat="1"/>
    <xf numFmtId="169" fontId="3" fillId="0" borderId="0" xfId="71" applyNumberFormat="1" applyAlignment="1">
      <alignment horizontal="center"/>
    </xf>
    <xf numFmtId="176" fontId="3" fillId="0" borderId="0" xfId="76" applyNumberFormat="1" applyFont="1" applyAlignment="1">
      <alignment horizontal="center"/>
    </xf>
    <xf numFmtId="170" fontId="3" fillId="0" borderId="0" xfId="76" applyNumberFormat="1" applyFont="1" applyAlignment="1">
      <alignment horizontal="center"/>
    </xf>
    <xf numFmtId="0" fontId="3" fillId="4" borderId="13" xfId="71" applyFill="1" applyBorder="1"/>
    <xf numFmtId="0" fontId="22" fillId="0" borderId="0" xfId="71" applyFont="1"/>
    <xf numFmtId="44" fontId="3" fillId="0" borderId="3" xfId="75" applyFont="1" applyFill="1" applyBorder="1"/>
    <xf numFmtId="176" fontId="3" fillId="25" borderId="15" xfId="2" applyNumberFormat="1" applyFont="1" applyFill="1" applyBorder="1" applyAlignment="1">
      <alignment horizontal="right"/>
    </xf>
    <xf numFmtId="173" fontId="10" fillId="8" borderId="3" xfId="74" applyNumberFormat="1" applyFont="1" applyFill="1" applyBorder="1" applyAlignment="1">
      <alignment horizontal="right" vertical="center" wrapText="1"/>
    </xf>
    <xf numFmtId="44" fontId="11" fillId="4" borderId="3" xfId="74" applyFont="1" applyFill="1" applyBorder="1" applyAlignment="1">
      <alignment horizontal="right" vertical="center" wrapText="1"/>
    </xf>
    <xf numFmtId="2" fontId="9" fillId="0" borderId="32" xfId="0" applyNumberFormat="1" applyFont="1" applyBorder="1" applyAlignment="1">
      <alignment horizontal="center" vertical="center"/>
    </xf>
    <xf numFmtId="2" fontId="9" fillId="0" borderId="30" xfId="0" applyNumberFormat="1" applyFont="1" applyBorder="1" applyAlignment="1">
      <alignment horizontal="center" vertical="center"/>
    </xf>
    <xf numFmtId="44" fontId="12" fillId="7" borderId="3" xfId="74" applyFont="1" applyFill="1" applyBorder="1" applyAlignment="1">
      <alignment horizontal="center" vertical="center" wrapText="1"/>
    </xf>
    <xf numFmtId="173" fontId="45" fillId="4" borderId="3" xfId="74" applyNumberFormat="1" applyFont="1" applyFill="1" applyBorder="1" applyAlignment="1">
      <alignment horizontal="right" indent="1"/>
    </xf>
    <xf numFmtId="173" fontId="3" fillId="9" borderId="15" xfId="74" applyNumberFormat="1" applyFont="1" applyFill="1" applyBorder="1" applyAlignment="1" applyProtection="1">
      <alignment horizontal="center" vertical="center"/>
      <protection locked="0"/>
    </xf>
    <xf numFmtId="173" fontId="46" fillId="5" borderId="3" xfId="74" applyNumberFormat="1" applyFont="1" applyFill="1" applyBorder="1" applyAlignment="1">
      <alignment horizontal="right" indent="1"/>
    </xf>
    <xf numFmtId="173" fontId="45" fillId="4" borderId="3" xfId="74" applyNumberFormat="1" applyFont="1" applyFill="1" applyBorder="1" applyAlignment="1">
      <alignment horizontal="right"/>
    </xf>
    <xf numFmtId="173" fontId="49" fillId="4" borderId="3" xfId="74" applyNumberFormat="1" applyFont="1" applyFill="1" applyBorder="1" applyAlignment="1">
      <alignment horizontal="right"/>
    </xf>
    <xf numFmtId="173" fontId="45" fillId="5" borderId="3" xfId="74" applyNumberFormat="1" applyFont="1" applyFill="1" applyBorder="1" applyAlignment="1">
      <alignment horizontal="right"/>
    </xf>
    <xf numFmtId="173" fontId="46" fillId="5" borderId="3" xfId="74" applyNumberFormat="1" applyFont="1" applyFill="1" applyBorder="1" applyAlignment="1">
      <alignment horizontal="right"/>
    </xf>
    <xf numFmtId="173" fontId="3" fillId="4" borderId="3" xfId="74" applyNumberFormat="1" applyFont="1" applyFill="1" applyBorder="1"/>
    <xf numFmtId="173" fontId="31" fillId="25" borderId="15" xfId="74" applyNumberFormat="1" applyFont="1" applyFill="1" applyBorder="1" applyAlignment="1">
      <alignment horizontal="right"/>
    </xf>
    <xf numFmtId="173" fontId="32" fillId="25" borderId="15" xfId="75" applyNumberFormat="1" applyFont="1" applyFill="1" applyBorder="1" applyAlignment="1">
      <alignment horizontal="right" vertical="center"/>
    </xf>
    <xf numFmtId="0" fontId="33" fillId="0" borderId="0" xfId="71" applyFont="1" applyAlignment="1">
      <alignment horizontal="center"/>
    </xf>
    <xf numFmtId="0" fontId="12" fillId="23" borderId="0" xfId="0" applyFont="1" applyFill="1" applyAlignment="1">
      <alignment horizontal="center" vertical="center"/>
    </xf>
    <xf numFmtId="171" fontId="24" fillId="0" borderId="0" xfId="2" applyNumberFormat="1" applyFont="1" applyBorder="1" applyAlignment="1">
      <alignment horizontal="center" vertical="center"/>
    </xf>
    <xf numFmtId="171" fontId="24" fillId="0" borderId="36" xfId="4" applyNumberFormat="1" applyFont="1" applyBorder="1" applyAlignment="1">
      <alignment horizontal="center" vertical="center"/>
    </xf>
    <xf numFmtId="171" fontId="24" fillId="0" borderId="31" xfId="4" applyNumberFormat="1" applyFont="1" applyBorder="1" applyAlignment="1">
      <alignment horizontal="center" vertical="center"/>
    </xf>
    <xf numFmtId="171" fontId="24" fillId="0" borderId="35" xfId="4" applyNumberFormat="1" applyFont="1" applyBorder="1" applyAlignment="1">
      <alignment horizontal="center" vertical="center"/>
    </xf>
    <xf numFmtId="171" fontId="24" fillId="0" borderId="34" xfId="4" applyNumberFormat="1" applyFont="1" applyBorder="1" applyAlignment="1">
      <alignment horizontal="center" vertical="center"/>
    </xf>
    <xf numFmtId="171" fontId="24" fillId="0" borderId="30" xfId="2" applyNumberFormat="1" applyFont="1" applyBorder="1" applyAlignment="1">
      <alignment horizontal="center" vertical="center"/>
    </xf>
    <xf numFmtId="171" fontId="24" fillId="0" borderId="37" xfId="4" applyNumberFormat="1" applyFont="1" applyBorder="1" applyAlignment="1">
      <alignment horizontal="center" vertical="center"/>
    </xf>
    <xf numFmtId="171" fontId="11" fillId="0" borderId="0" xfId="4" applyNumberFormat="1" applyFont="1" applyAlignment="1">
      <alignment horizontal="center" vertical="center" wrapText="1"/>
    </xf>
    <xf numFmtId="173" fontId="10" fillId="0" borderId="0" xfId="74" applyNumberFormat="1" applyFont="1" applyFill="1" applyBorder="1" applyAlignment="1">
      <alignment horizontal="right" vertical="center" wrapText="1"/>
    </xf>
    <xf numFmtId="172" fontId="0" fillId="0" borderId="0" xfId="74" applyNumberFormat="1" applyFont="1"/>
    <xf numFmtId="2" fontId="0" fillId="0" borderId="46" xfId="0" applyNumberFormat="1" applyBorder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24" fillId="10" borderId="5" xfId="0" applyFont="1" applyFill="1" applyBorder="1" applyAlignment="1">
      <alignment horizontal="center" vertical="center"/>
    </xf>
    <xf numFmtId="0" fontId="29" fillId="0" borderId="46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 wrapText="1"/>
    </xf>
    <xf numFmtId="178" fontId="0" fillId="0" borderId="46" xfId="0" applyNumberFormat="1" applyBorder="1"/>
    <xf numFmtId="2" fontId="3" fillId="0" borderId="0" xfId="2" applyNumberFormat="1" applyFont="1"/>
    <xf numFmtId="9" fontId="3" fillId="0" borderId="0" xfId="71" applyNumberFormat="1"/>
    <xf numFmtId="0" fontId="0" fillId="28" borderId="0" xfId="0" applyFill="1"/>
    <xf numFmtId="0" fontId="11" fillId="28" borderId="0" xfId="0" applyFont="1" applyFill="1" applyAlignment="1">
      <alignment horizontal="center"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7" fillId="29" borderId="1" xfId="0" applyFont="1" applyFill="1" applyBorder="1" applyAlignment="1">
      <alignment horizontal="center" vertical="center"/>
    </xf>
    <xf numFmtId="177" fontId="0" fillId="9" borderId="15" xfId="74" applyNumberFormat="1" applyFont="1" applyFill="1" applyBorder="1" applyProtection="1">
      <protection locked="0"/>
    </xf>
    <xf numFmtId="44" fontId="12" fillId="7" borderId="4" xfId="74" applyNumberFormat="1" applyFont="1" applyFill="1" applyBorder="1" applyAlignment="1">
      <alignment horizontal="center" vertical="center" wrapText="1"/>
    </xf>
    <xf numFmtId="44" fontId="0" fillId="0" borderId="0" xfId="0" applyNumberFormat="1"/>
    <xf numFmtId="164" fontId="11" fillId="0" borderId="0" xfId="4" applyFont="1" applyAlignment="1">
      <alignment horizontal="center" vertical="center" wrapText="1"/>
    </xf>
    <xf numFmtId="44" fontId="11" fillId="0" borderId="0" xfId="0" applyNumberFormat="1" applyFont="1" applyAlignment="1">
      <alignment horizontal="center" vertical="center" wrapText="1"/>
    </xf>
    <xf numFmtId="9" fontId="3" fillId="9" borderId="15" xfId="2" applyFont="1" applyFill="1" applyBorder="1" applyAlignment="1" applyProtection="1">
      <alignment horizontal="center" vertical="center"/>
      <protection locked="0"/>
    </xf>
    <xf numFmtId="0" fontId="53" fillId="11" borderId="15" xfId="71" applyFont="1" applyFill="1" applyBorder="1"/>
    <xf numFmtId="176" fontId="54" fillId="25" borderId="15" xfId="2" applyNumberFormat="1" applyFont="1" applyFill="1" applyBorder="1" applyAlignment="1">
      <alignment horizontal="right"/>
    </xf>
    <xf numFmtId="44" fontId="54" fillId="25" borderId="15" xfId="74" applyFont="1" applyFill="1" applyBorder="1" applyAlignment="1">
      <alignment horizontal="right"/>
    </xf>
    <xf numFmtId="0" fontId="52" fillId="11" borderId="15" xfId="71" applyFont="1" applyFill="1" applyBorder="1"/>
    <xf numFmtId="176" fontId="52" fillId="25" borderId="15" xfId="2" applyNumberFormat="1" applyFont="1" applyFill="1" applyBorder="1" applyAlignment="1">
      <alignment horizontal="right"/>
    </xf>
    <xf numFmtId="164" fontId="55" fillId="25" borderId="15" xfId="4" applyFont="1" applyFill="1" applyBorder="1" applyAlignment="1">
      <alignment horizontal="right"/>
    </xf>
    <xf numFmtId="166" fontId="3" fillId="9" borderId="15" xfId="2" applyNumberFormat="1" applyFont="1" applyFill="1" applyBorder="1" applyAlignment="1" applyProtection="1">
      <alignment horizontal="center" vertical="center"/>
      <protection locked="0"/>
    </xf>
    <xf numFmtId="164" fontId="3" fillId="9" borderId="15" xfId="4" applyFont="1" applyFill="1" applyBorder="1" applyAlignment="1" applyProtection="1">
      <alignment horizontal="center" vertical="center"/>
      <protection locked="0"/>
    </xf>
    <xf numFmtId="0" fontId="37" fillId="15" borderId="43" xfId="71" applyFont="1" applyFill="1" applyBorder="1" applyAlignment="1">
      <alignment horizontal="center" vertical="center"/>
    </xf>
    <xf numFmtId="0" fontId="56" fillId="0" borderId="0" xfId="0" applyFont="1"/>
    <xf numFmtId="0" fontId="56" fillId="26" borderId="3" xfId="71" applyFont="1" applyFill="1" applyBorder="1" applyAlignment="1">
      <alignment horizontal="left" vertical="center"/>
    </xf>
    <xf numFmtId="44" fontId="56" fillId="26" borderId="3" xfId="75" applyFont="1" applyFill="1" applyBorder="1" applyAlignment="1" applyProtection="1">
      <alignment horizontal="center" vertical="center"/>
      <protection locked="0"/>
    </xf>
    <xf numFmtId="0" fontId="56" fillId="26" borderId="3" xfId="71" applyFont="1" applyFill="1" applyBorder="1" applyAlignment="1">
      <alignment vertical="center"/>
    </xf>
    <xf numFmtId="0" fontId="57" fillId="26" borderId="3" xfId="71" applyFont="1" applyFill="1" applyBorder="1" applyAlignment="1">
      <alignment vertical="center"/>
    </xf>
    <xf numFmtId="165" fontId="57" fillId="26" borderId="3" xfId="71" applyNumberFormat="1" applyFont="1" applyFill="1" applyBorder="1" applyAlignment="1">
      <alignment vertical="center"/>
    </xf>
    <xf numFmtId="165" fontId="56" fillId="26" borderId="3" xfId="71" applyNumberFormat="1" applyFont="1" applyFill="1" applyBorder="1" applyAlignment="1" applyProtection="1">
      <alignment horizontal="center" vertical="center"/>
      <protection locked="0"/>
    </xf>
    <xf numFmtId="173" fontId="57" fillId="26" borderId="3" xfId="75" applyNumberFormat="1" applyFont="1" applyFill="1" applyBorder="1" applyAlignment="1">
      <alignment horizontal="right" vertical="center"/>
    </xf>
    <xf numFmtId="165" fontId="56" fillId="26" borderId="3" xfId="71" applyNumberFormat="1" applyFont="1" applyFill="1" applyBorder="1" applyAlignment="1">
      <alignment vertical="center"/>
    </xf>
    <xf numFmtId="44" fontId="56" fillId="26" borderId="3" xfId="75" applyFont="1" applyFill="1" applyBorder="1" applyAlignment="1">
      <alignment horizontal="right" vertical="center"/>
    </xf>
    <xf numFmtId="169" fontId="56" fillId="26" borderId="3" xfId="71" applyNumberFormat="1" applyFont="1" applyFill="1" applyBorder="1" applyAlignment="1" applyProtection="1">
      <alignment horizontal="center" vertical="center"/>
      <protection locked="0"/>
    </xf>
    <xf numFmtId="0" fontId="56" fillId="26" borderId="3" xfId="71" applyFont="1" applyFill="1" applyBorder="1" applyAlignment="1">
      <alignment vertical="center" wrapText="1"/>
    </xf>
    <xf numFmtId="2" fontId="56" fillId="26" borderId="3" xfId="77" applyNumberFormat="1" applyFont="1" applyFill="1" applyBorder="1" applyAlignment="1">
      <alignment horizontal="right" vertical="center"/>
    </xf>
    <xf numFmtId="0" fontId="57" fillId="26" borderId="3" xfId="71" applyFont="1" applyFill="1" applyBorder="1" applyAlignment="1">
      <alignment horizontal="left" vertical="center"/>
    </xf>
    <xf numFmtId="9" fontId="56" fillId="26" borderId="3" xfId="2" applyFont="1" applyFill="1" applyBorder="1" applyAlignment="1" applyProtection="1">
      <alignment horizontal="center" vertical="center"/>
      <protection locked="0"/>
    </xf>
    <xf numFmtId="0" fontId="60" fillId="26" borderId="3" xfId="71" applyFont="1" applyFill="1" applyBorder="1" applyAlignment="1">
      <alignment vertical="center"/>
    </xf>
    <xf numFmtId="0" fontId="60" fillId="26" borderId="3" xfId="71" applyFont="1" applyFill="1" applyBorder="1" applyAlignment="1">
      <alignment horizontal="left" vertical="center"/>
    </xf>
    <xf numFmtId="0" fontId="58" fillId="26" borderId="3" xfId="71" applyFont="1" applyFill="1" applyBorder="1" applyAlignment="1">
      <alignment vertical="center"/>
    </xf>
    <xf numFmtId="165" fontId="58" fillId="26" borderId="3" xfId="71" applyNumberFormat="1" applyFont="1" applyFill="1" applyBorder="1" applyAlignment="1">
      <alignment vertical="center"/>
    </xf>
    <xf numFmtId="6" fontId="0" fillId="4" borderId="13" xfId="74" applyNumberFormat="1" applyFont="1" applyFill="1" applyBorder="1"/>
    <xf numFmtId="6" fontId="3" fillId="4" borderId="13" xfId="75" applyNumberFormat="1" applyFont="1" applyFill="1" applyBorder="1" applyAlignment="1">
      <alignment horizontal="right" vertical="center"/>
    </xf>
    <xf numFmtId="3" fontId="63" fillId="4" borderId="3" xfId="0" applyNumberFormat="1" applyFont="1" applyFill="1" applyBorder="1" applyAlignment="1">
      <alignment horizontal="right" wrapText="1"/>
    </xf>
    <xf numFmtId="0" fontId="63" fillId="4" borderId="3" xfId="0" applyFont="1" applyFill="1" applyBorder="1" applyAlignment="1">
      <alignment horizontal="left" wrapText="1"/>
    </xf>
    <xf numFmtId="6" fontId="63" fillId="4" borderId="3" xfId="0" applyNumberFormat="1" applyFont="1" applyFill="1" applyBorder="1" applyAlignment="1">
      <alignment horizontal="right" wrapText="1"/>
    </xf>
    <xf numFmtId="0" fontId="3" fillId="4" borderId="0" xfId="71" applyFill="1"/>
    <xf numFmtId="6" fontId="22" fillId="4" borderId="19" xfId="71" applyNumberFormat="1" applyFont="1" applyFill="1" applyBorder="1" applyAlignment="1"/>
    <xf numFmtId="6" fontId="3" fillId="0" borderId="0" xfId="71" applyNumberFormat="1"/>
    <xf numFmtId="0" fontId="65" fillId="0" borderId="0" xfId="0" applyFont="1" applyAlignment="1">
      <alignment horizontal="left" vertical="center"/>
    </xf>
    <xf numFmtId="0" fontId="66" fillId="12" borderId="3" xfId="71" applyFont="1" applyFill="1" applyBorder="1" applyAlignment="1">
      <alignment horizontal="center"/>
    </xf>
    <xf numFmtId="0" fontId="61" fillId="4" borderId="3" xfId="0" applyFont="1" applyFill="1" applyBorder="1" applyAlignment="1">
      <alignment horizontal="center" vertical="center" wrapText="1"/>
    </xf>
    <xf numFmtId="6" fontId="61" fillId="4" borderId="3" xfId="0" applyNumberFormat="1" applyFont="1" applyFill="1" applyBorder="1" applyAlignment="1">
      <alignment horizontal="right" vertical="center" wrapText="1"/>
    </xf>
    <xf numFmtId="44" fontId="66" fillId="12" borderId="3" xfId="74" applyFont="1" applyFill="1" applyBorder="1" applyAlignment="1">
      <alignment horizontal="center"/>
    </xf>
    <xf numFmtId="0" fontId="67" fillId="0" borderId="0" xfId="0" applyFont="1" applyAlignment="1">
      <alignment vertical="center" wrapText="1"/>
    </xf>
    <xf numFmtId="0" fontId="3" fillId="33" borderId="49" xfId="0" applyFont="1" applyFill="1" applyBorder="1" applyAlignment="1">
      <alignment horizontal="left" vertical="center"/>
    </xf>
    <xf numFmtId="0" fontId="3" fillId="33" borderId="53" xfId="0" applyFont="1" applyFill="1" applyBorder="1" applyAlignment="1">
      <alignment horizontal="center" vertical="center"/>
    </xf>
    <xf numFmtId="3" fontId="40" fillId="33" borderId="53" xfId="0" applyNumberFormat="1" applyFont="1" applyFill="1" applyBorder="1" applyAlignment="1">
      <alignment horizontal="center" vertical="center"/>
    </xf>
    <xf numFmtId="3" fontId="40" fillId="33" borderId="53" xfId="0" applyNumberFormat="1" applyFont="1" applyFill="1" applyBorder="1" applyAlignment="1">
      <alignment horizontal="right" vertical="center"/>
    </xf>
    <xf numFmtId="0" fontId="3" fillId="0" borderId="49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center" vertical="center"/>
    </xf>
    <xf numFmtId="3" fontId="40" fillId="0" borderId="53" xfId="0" applyNumberFormat="1" applyFont="1" applyBorder="1" applyAlignment="1">
      <alignment horizontal="center" vertical="center"/>
    </xf>
    <xf numFmtId="3" fontId="40" fillId="0" borderId="53" xfId="0" applyNumberFormat="1" applyFont="1" applyBorder="1" applyAlignment="1">
      <alignment horizontal="right" vertical="center"/>
    </xf>
    <xf numFmtId="0" fontId="40" fillId="0" borderId="53" xfId="0" applyFont="1" applyBorder="1" applyAlignment="1">
      <alignment horizontal="center" vertical="center"/>
    </xf>
    <xf numFmtId="0" fontId="22" fillId="33" borderId="49" xfId="0" applyFont="1" applyFill="1" applyBorder="1" applyAlignment="1">
      <alignment horizontal="left" vertical="center"/>
    </xf>
    <xf numFmtId="0" fontId="40" fillId="0" borderId="52" xfId="0" applyFont="1" applyBorder="1" applyAlignment="1">
      <alignment horizontal="center" vertical="center"/>
    </xf>
    <xf numFmtId="0" fontId="40" fillId="0" borderId="52" xfId="0" applyFont="1" applyBorder="1" applyAlignment="1">
      <alignment horizontal="right" vertical="center"/>
    </xf>
    <xf numFmtId="0" fontId="22" fillId="32" borderId="49" xfId="0" applyFont="1" applyFill="1" applyBorder="1" applyAlignment="1">
      <alignment horizontal="left" vertical="center"/>
    </xf>
    <xf numFmtId="0" fontId="3" fillId="32" borderId="53" xfId="0" applyFont="1" applyFill="1" applyBorder="1" applyAlignment="1">
      <alignment horizontal="center" vertical="center"/>
    </xf>
    <xf numFmtId="0" fontId="40" fillId="32" borderId="53" xfId="0" applyFont="1" applyFill="1" applyBorder="1" applyAlignment="1">
      <alignment horizontal="center" vertical="center"/>
    </xf>
    <xf numFmtId="3" fontId="40" fillId="32" borderId="53" xfId="0" applyNumberFormat="1" applyFont="1" applyFill="1" applyBorder="1" applyAlignment="1">
      <alignment horizontal="center" vertical="center"/>
    </xf>
    <xf numFmtId="0" fontId="3" fillId="0" borderId="56" xfId="0" applyFont="1" applyBorder="1" applyAlignment="1">
      <alignment horizontal="left" vertical="center"/>
    </xf>
    <xf numFmtId="0" fontId="3" fillId="0" borderId="57" xfId="0" applyFont="1" applyBorder="1" applyAlignment="1">
      <alignment horizontal="center" vertical="center"/>
    </xf>
    <xf numFmtId="0" fontId="40" fillId="0" borderId="57" xfId="0" applyFont="1" applyBorder="1" applyAlignment="1">
      <alignment horizontal="center" vertical="center"/>
    </xf>
    <xf numFmtId="3" fontId="40" fillId="0" borderId="57" xfId="0" applyNumberFormat="1" applyFont="1" applyBorder="1" applyAlignment="1">
      <alignment horizontal="center" vertical="center"/>
    </xf>
    <xf numFmtId="3" fontId="40" fillId="0" borderId="57" xfId="0" applyNumberFormat="1" applyFont="1" applyBorder="1" applyAlignment="1">
      <alignment horizontal="right" vertical="center"/>
    </xf>
    <xf numFmtId="0" fontId="3" fillId="0" borderId="0" xfId="0" applyFont="1" applyAlignment="1">
      <alignment horizontal="justify" vertical="center"/>
    </xf>
    <xf numFmtId="9" fontId="3" fillId="0" borderId="0" xfId="0" applyNumberFormat="1" applyFont="1" applyAlignment="1">
      <alignment horizontal="center" vertical="center"/>
    </xf>
    <xf numFmtId="3" fontId="40" fillId="0" borderId="0" xfId="0" applyNumberFormat="1" applyFont="1" applyAlignment="1">
      <alignment horizontal="right" vertical="center"/>
    </xf>
    <xf numFmtId="0" fontId="68" fillId="27" borderId="51" xfId="0" applyFont="1" applyFill="1" applyBorder="1" applyAlignment="1">
      <alignment horizontal="center" vertical="center" wrapText="1"/>
    </xf>
    <xf numFmtId="0" fontId="68" fillId="27" borderId="53" xfId="0" applyFont="1" applyFill="1" applyBorder="1" applyAlignment="1">
      <alignment horizontal="center" vertical="center" wrapText="1"/>
    </xf>
    <xf numFmtId="0" fontId="68" fillId="27" borderId="53" xfId="0" applyFont="1" applyFill="1" applyBorder="1" applyAlignment="1">
      <alignment horizontal="center" vertical="center"/>
    </xf>
    <xf numFmtId="3" fontId="50" fillId="27" borderId="53" xfId="0" applyNumberFormat="1" applyFont="1" applyFill="1" applyBorder="1" applyAlignment="1">
      <alignment horizontal="right" vertical="center"/>
    </xf>
    <xf numFmtId="3" fontId="50" fillId="27" borderId="58" xfId="0" applyNumberFormat="1" applyFont="1" applyFill="1" applyBorder="1" applyAlignment="1">
      <alignment horizontal="right" vertical="center"/>
    </xf>
    <xf numFmtId="0" fontId="52" fillId="33" borderId="3" xfId="0" applyFont="1" applyFill="1" applyBorder="1" applyAlignment="1">
      <alignment horizontal="center" vertical="center"/>
    </xf>
    <xf numFmtId="3" fontId="52" fillId="33" borderId="3" xfId="0" applyNumberFormat="1" applyFont="1" applyFill="1" applyBorder="1" applyAlignment="1">
      <alignment horizontal="right" vertical="center"/>
    </xf>
    <xf numFmtId="0" fontId="52" fillId="0" borderId="3" xfId="0" applyFont="1" applyBorder="1" applyAlignment="1">
      <alignment horizontal="center" vertical="center"/>
    </xf>
    <xf numFmtId="3" fontId="52" fillId="0" borderId="3" xfId="0" applyNumberFormat="1" applyFont="1" applyBorder="1" applyAlignment="1">
      <alignment horizontal="right" vertical="center"/>
    </xf>
    <xf numFmtId="0" fontId="70" fillId="0" borderId="3" xfId="0" applyFont="1" applyBorder="1"/>
    <xf numFmtId="0" fontId="52" fillId="0" borderId="3" xfId="0" applyFont="1" applyBorder="1" applyAlignment="1">
      <alignment horizontal="left" vertical="center"/>
    </xf>
    <xf numFmtId="9" fontId="52" fillId="0" borderId="3" xfId="0" applyNumberFormat="1" applyFont="1" applyBorder="1" applyAlignment="1">
      <alignment horizontal="right" vertical="center"/>
    </xf>
    <xf numFmtId="9" fontId="54" fillId="0" borderId="3" xfId="0" applyNumberFormat="1" applyFont="1" applyBorder="1" applyAlignment="1">
      <alignment horizontal="right" vertical="center"/>
    </xf>
    <xf numFmtId="3" fontId="54" fillId="0" borderId="3" xfId="0" applyNumberFormat="1" applyFont="1" applyBorder="1" applyAlignment="1">
      <alignment horizontal="right" vertical="center"/>
    </xf>
    <xf numFmtId="0" fontId="62" fillId="35" borderId="3" xfId="0" applyFont="1" applyFill="1" applyBorder="1" applyAlignment="1">
      <alignment horizontal="center" vertical="center" wrapText="1"/>
    </xf>
    <xf numFmtId="0" fontId="62" fillId="35" borderId="3" xfId="0" applyFont="1" applyFill="1" applyBorder="1" applyAlignment="1">
      <alignment horizontal="center" vertical="center"/>
    </xf>
    <xf numFmtId="3" fontId="69" fillId="35" borderId="3" xfId="0" applyNumberFormat="1" applyFont="1" applyFill="1" applyBorder="1" applyAlignment="1">
      <alignment horizontal="right" vertical="center"/>
    </xf>
    <xf numFmtId="3" fontId="71" fillId="35" borderId="3" xfId="0" applyNumberFormat="1" applyFont="1" applyFill="1" applyBorder="1" applyAlignment="1">
      <alignment horizontal="right" vertical="center"/>
    </xf>
    <xf numFmtId="3" fontId="69" fillId="35" borderId="22" xfId="0" applyNumberFormat="1" applyFont="1" applyFill="1" applyBorder="1" applyAlignment="1">
      <alignment horizontal="right" vertical="center"/>
    </xf>
    <xf numFmtId="0" fontId="70" fillId="0" borderId="22" xfId="0" applyFont="1" applyBorder="1"/>
    <xf numFmtId="0" fontId="52" fillId="0" borderId="65" xfId="0" applyFont="1" applyBorder="1" applyAlignment="1">
      <alignment horizontal="center" vertical="center"/>
    </xf>
    <xf numFmtId="3" fontId="52" fillId="0" borderId="65" xfId="0" applyNumberFormat="1" applyFont="1" applyBorder="1" applyAlignment="1">
      <alignment horizontal="right" vertical="center"/>
    </xf>
    <xf numFmtId="44" fontId="71" fillId="12" borderId="3" xfId="74" applyFont="1" applyFill="1" applyBorder="1" applyAlignment="1">
      <alignment horizontal="center"/>
    </xf>
    <xf numFmtId="44" fontId="3" fillId="0" borderId="20" xfId="75" applyFont="1" applyFill="1" applyBorder="1"/>
    <xf numFmtId="2" fontId="56" fillId="26" borderId="3" xfId="77" applyNumberFormat="1" applyFont="1" applyFill="1" applyBorder="1" applyAlignment="1">
      <alignment horizontal="right" vertical="center"/>
    </xf>
    <xf numFmtId="0" fontId="57" fillId="26" borderId="3" xfId="71" applyFont="1" applyFill="1" applyBorder="1" applyAlignment="1">
      <alignment horizontal="left" vertical="center"/>
    </xf>
    <xf numFmtId="2" fontId="56" fillId="26" borderId="3" xfId="77" applyNumberFormat="1" applyFont="1" applyFill="1" applyBorder="1" applyAlignment="1">
      <alignment horizontal="right" vertical="center"/>
    </xf>
    <xf numFmtId="0" fontId="60" fillId="26" borderId="3" xfId="71" applyFont="1" applyFill="1" applyBorder="1" applyAlignment="1">
      <alignment horizontal="left" vertical="center"/>
    </xf>
    <xf numFmtId="0" fontId="0" fillId="37" borderId="0" xfId="0" applyFill="1"/>
    <xf numFmtId="0" fontId="72" fillId="35" borderId="3" xfId="0" applyFont="1" applyFill="1" applyBorder="1" applyAlignment="1">
      <alignment horizontal="center" vertical="center" wrapText="1"/>
    </xf>
    <xf numFmtId="0" fontId="72" fillId="35" borderId="3" xfId="0" applyFont="1" applyFill="1" applyBorder="1" applyAlignment="1">
      <alignment horizontal="center" vertical="center"/>
    </xf>
    <xf numFmtId="0" fontId="34" fillId="5" borderId="3" xfId="0" applyFont="1" applyFill="1" applyBorder="1" applyAlignment="1">
      <alignment horizontal="center" vertical="center"/>
    </xf>
    <xf numFmtId="3" fontId="34" fillId="5" borderId="3" xfId="0" applyNumberFormat="1" applyFont="1" applyFill="1" applyBorder="1" applyAlignment="1">
      <alignment horizontal="right" vertical="center"/>
    </xf>
    <xf numFmtId="0" fontId="34" fillId="5" borderId="3" xfId="0" applyFont="1" applyFill="1" applyBorder="1" applyAlignment="1">
      <alignment horizontal="right" vertical="center"/>
    </xf>
    <xf numFmtId="3" fontId="73" fillId="5" borderId="3" xfId="0" applyNumberFormat="1" applyFont="1" applyFill="1" applyBorder="1" applyAlignment="1">
      <alignment horizontal="right" vertical="center"/>
    </xf>
    <xf numFmtId="0" fontId="34" fillId="4" borderId="3" xfId="0" applyFont="1" applyFill="1" applyBorder="1" applyAlignment="1">
      <alignment horizontal="center" vertical="center"/>
    </xf>
    <xf numFmtId="3" fontId="34" fillId="4" borderId="3" xfId="0" applyNumberFormat="1" applyFont="1" applyFill="1" applyBorder="1" applyAlignment="1">
      <alignment horizontal="right" vertical="center"/>
    </xf>
    <xf numFmtId="0" fontId="34" fillId="4" borderId="3" xfId="0" applyFont="1" applyFill="1" applyBorder="1" applyAlignment="1">
      <alignment horizontal="right" vertical="center"/>
    </xf>
    <xf numFmtId="0" fontId="74" fillId="0" borderId="53" xfId="0" applyFont="1" applyBorder="1"/>
    <xf numFmtId="0" fontId="3" fillId="0" borderId="0" xfId="71" applyFont="1"/>
    <xf numFmtId="9" fontId="34" fillId="4" borderId="3" xfId="0" applyNumberFormat="1" applyFont="1" applyFill="1" applyBorder="1" applyAlignment="1">
      <alignment horizontal="right" vertical="center"/>
    </xf>
    <xf numFmtId="9" fontId="73" fillId="4" borderId="3" xfId="0" applyNumberFormat="1" applyFont="1" applyFill="1" applyBorder="1" applyAlignment="1">
      <alignment horizontal="right" vertical="center"/>
    </xf>
    <xf numFmtId="3" fontId="73" fillId="4" borderId="3" xfId="0" applyNumberFormat="1" applyFont="1" applyFill="1" applyBorder="1" applyAlignment="1">
      <alignment horizontal="right" vertical="center"/>
    </xf>
    <xf numFmtId="3" fontId="75" fillId="35" borderId="3" xfId="0" applyNumberFormat="1" applyFont="1" applyFill="1" applyBorder="1" applyAlignment="1">
      <alignment horizontal="right" vertical="center"/>
    </xf>
    <xf numFmtId="0" fontId="8" fillId="3" borderId="19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3" fontId="12" fillId="7" borderId="1" xfId="0" applyNumberFormat="1" applyFont="1" applyFill="1" applyBorder="1" applyAlignment="1">
      <alignment horizontal="center" vertical="center" wrapText="1"/>
    </xf>
    <xf numFmtId="3" fontId="12" fillId="7" borderId="2" xfId="0" applyNumberFormat="1" applyFont="1" applyFill="1" applyBorder="1" applyAlignment="1">
      <alignment horizontal="center" vertical="center" wrapText="1"/>
    </xf>
    <xf numFmtId="3" fontId="12" fillId="7" borderId="9" xfId="0" applyNumberFormat="1" applyFont="1" applyFill="1" applyBorder="1" applyAlignment="1">
      <alignment horizontal="center" vertical="center" wrapText="1"/>
    </xf>
    <xf numFmtId="0" fontId="22" fillId="7" borderId="8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23" borderId="27" xfId="0" applyFont="1" applyFill="1" applyBorder="1" applyAlignment="1">
      <alignment horizontal="center" vertical="center"/>
    </xf>
    <xf numFmtId="0" fontId="12" fillId="23" borderId="28" xfId="0" applyFont="1" applyFill="1" applyBorder="1" applyAlignment="1">
      <alignment horizontal="center" vertical="center"/>
    </xf>
    <xf numFmtId="0" fontId="12" fillId="23" borderId="29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/>
    </xf>
    <xf numFmtId="0" fontId="29" fillId="0" borderId="29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3" fillId="7" borderId="14" xfId="0" applyFont="1" applyFill="1" applyBorder="1" applyAlignment="1">
      <alignment horizontal="center"/>
    </xf>
    <xf numFmtId="0" fontId="3" fillId="7" borderId="15" xfId="0" applyFont="1" applyFill="1" applyBorder="1" applyAlignment="1">
      <alignment horizontal="center"/>
    </xf>
    <xf numFmtId="0" fontId="3" fillId="7" borderId="16" xfId="0" applyFont="1" applyFill="1" applyBorder="1" applyAlignment="1">
      <alignment horizontal="center"/>
    </xf>
    <xf numFmtId="0" fontId="3" fillId="4" borderId="14" xfId="71" applyFill="1" applyBorder="1" applyAlignment="1">
      <alignment horizontal="center"/>
    </xf>
    <xf numFmtId="0" fontId="3" fillId="4" borderId="15" xfId="71" applyFill="1" applyBorder="1" applyAlignment="1">
      <alignment horizontal="center"/>
    </xf>
    <xf numFmtId="0" fontId="3" fillId="4" borderId="16" xfId="71" applyFill="1" applyBorder="1" applyAlignment="1">
      <alignment horizontal="center"/>
    </xf>
    <xf numFmtId="0" fontId="42" fillId="7" borderId="3" xfId="71" applyFont="1" applyFill="1" applyBorder="1" applyAlignment="1">
      <alignment horizontal="center"/>
    </xf>
    <xf numFmtId="0" fontId="43" fillId="7" borderId="3" xfId="71" applyFont="1" applyFill="1" applyBorder="1" applyAlignment="1">
      <alignment horizontal="center"/>
    </xf>
    <xf numFmtId="0" fontId="31" fillId="24" borderId="10" xfId="71" applyFont="1" applyFill="1" applyBorder="1" applyAlignment="1">
      <alignment horizontal="center" vertical="center" wrapText="1"/>
    </xf>
    <xf numFmtId="0" fontId="31" fillId="24" borderId="19" xfId="71" applyFont="1" applyFill="1" applyBorder="1" applyAlignment="1">
      <alignment horizontal="center" vertical="center" wrapText="1"/>
    </xf>
    <xf numFmtId="0" fontId="31" fillId="24" borderId="11" xfId="71" applyFont="1" applyFill="1" applyBorder="1" applyAlignment="1">
      <alignment horizontal="center" vertical="center" wrapText="1"/>
    </xf>
    <xf numFmtId="0" fontId="31" fillId="24" borderId="6" xfId="71" applyFont="1" applyFill="1" applyBorder="1" applyAlignment="1">
      <alignment horizontal="center" vertical="center" wrapText="1"/>
    </xf>
    <xf numFmtId="0" fontId="31" fillId="24" borderId="0" xfId="71" applyFont="1" applyFill="1" applyAlignment="1">
      <alignment horizontal="center" vertical="center" wrapText="1"/>
    </xf>
    <xf numFmtId="0" fontId="31" fillId="24" borderId="45" xfId="71" applyFont="1" applyFill="1" applyBorder="1" applyAlignment="1">
      <alignment horizontal="center" vertical="center" wrapText="1"/>
    </xf>
    <xf numFmtId="0" fontId="31" fillId="24" borderId="7" xfId="71" applyFont="1" applyFill="1" applyBorder="1" applyAlignment="1">
      <alignment horizontal="center" vertical="center" wrapText="1"/>
    </xf>
    <xf numFmtId="0" fontId="31" fillId="24" borderId="8" xfId="71" applyFont="1" applyFill="1" applyBorder="1" applyAlignment="1">
      <alignment horizontal="center" vertical="center" wrapText="1"/>
    </xf>
    <xf numFmtId="0" fontId="31" fillId="24" borderId="12" xfId="71" applyFont="1" applyFill="1" applyBorder="1" applyAlignment="1">
      <alignment horizontal="center" vertical="center" wrapText="1"/>
    </xf>
    <xf numFmtId="0" fontId="31" fillId="24" borderId="3" xfId="71" applyFont="1" applyFill="1" applyBorder="1" applyAlignment="1">
      <alignment horizontal="center" vertical="center" wrapText="1"/>
    </xf>
    <xf numFmtId="0" fontId="3" fillId="9" borderId="18" xfId="71" applyFill="1" applyBorder="1" applyAlignment="1" applyProtection="1">
      <alignment horizontal="center"/>
      <protection locked="0"/>
    </xf>
    <xf numFmtId="0" fontId="3" fillId="9" borderId="13" xfId="71" applyFill="1" applyBorder="1" applyAlignment="1" applyProtection="1">
      <alignment horizontal="center"/>
      <protection locked="0"/>
    </xf>
    <xf numFmtId="0" fontId="3" fillId="9" borderId="14" xfId="71" applyFill="1" applyBorder="1" applyAlignment="1" applyProtection="1">
      <alignment horizontal="center"/>
      <protection locked="0"/>
    </xf>
    <xf numFmtId="0" fontId="3" fillId="9" borderId="15" xfId="71" applyFill="1" applyBorder="1" applyAlignment="1" applyProtection="1">
      <alignment horizontal="center"/>
      <protection locked="0"/>
    </xf>
    <xf numFmtId="0" fontId="3" fillId="9" borderId="16" xfId="71" applyFill="1" applyBorder="1" applyAlignment="1" applyProtection="1">
      <alignment horizontal="center"/>
      <protection locked="0"/>
    </xf>
    <xf numFmtId="0" fontId="37" fillId="15" borderId="43" xfId="71" applyFont="1" applyFill="1" applyBorder="1" applyAlignment="1">
      <alignment horizontal="center" vertical="center"/>
    </xf>
    <xf numFmtId="0" fontId="37" fillId="15" borderId="44" xfId="71" applyFont="1" applyFill="1" applyBorder="1" applyAlignment="1">
      <alignment horizontal="center" vertical="center"/>
    </xf>
    <xf numFmtId="0" fontId="32" fillId="10" borderId="42" xfId="71" applyFont="1" applyFill="1" applyBorder="1" applyAlignment="1">
      <alignment horizontal="center"/>
    </xf>
    <xf numFmtId="0" fontId="67" fillId="0" borderId="62" xfId="0" applyFont="1" applyBorder="1" applyAlignment="1">
      <alignment vertical="center" wrapText="1"/>
    </xf>
    <xf numFmtId="0" fontId="3" fillId="33" borderId="63" xfId="0" applyFont="1" applyFill="1" applyBorder="1" applyAlignment="1">
      <alignment horizontal="center" vertical="center"/>
    </xf>
    <xf numFmtId="0" fontId="40" fillId="0" borderId="64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" fillId="0" borderId="47" xfId="0" applyFont="1" applyBorder="1" applyAlignment="1">
      <alignment horizontal="left" vertical="center" wrapText="1"/>
    </xf>
    <xf numFmtId="0" fontId="3" fillId="0" borderId="49" xfId="0" applyFont="1" applyBorder="1" applyAlignment="1">
      <alignment horizontal="left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40" fillId="33" borderId="63" xfId="0" applyFont="1" applyFill="1" applyBorder="1" applyAlignment="1">
      <alignment horizontal="center" vertical="center"/>
    </xf>
    <xf numFmtId="0" fontId="22" fillId="7" borderId="54" xfId="0" applyFont="1" applyFill="1" applyBorder="1" applyAlignment="1">
      <alignment horizontal="center"/>
    </xf>
    <xf numFmtId="0" fontId="22" fillId="7" borderId="60" xfId="0" applyFont="1" applyFill="1" applyBorder="1" applyAlignment="1">
      <alignment horizontal="center" vertical="center"/>
    </xf>
    <xf numFmtId="0" fontId="22" fillId="7" borderId="61" xfId="0" applyFont="1" applyFill="1" applyBorder="1" applyAlignment="1">
      <alignment horizontal="center" vertical="center"/>
    </xf>
    <xf numFmtId="0" fontId="22" fillId="7" borderId="50" xfId="0" applyFont="1" applyFill="1" applyBorder="1" applyAlignment="1">
      <alignment horizontal="center" vertical="center"/>
    </xf>
    <xf numFmtId="0" fontId="22" fillId="32" borderId="60" xfId="0" applyFont="1" applyFill="1" applyBorder="1" applyAlignment="1">
      <alignment horizontal="center" vertical="center"/>
    </xf>
    <xf numFmtId="0" fontId="22" fillId="32" borderId="61" xfId="0" applyFont="1" applyFill="1" applyBorder="1" applyAlignment="1">
      <alignment horizontal="center" vertical="center"/>
    </xf>
    <xf numFmtId="0" fontId="22" fillId="32" borderId="50" xfId="0" applyFont="1" applyFill="1" applyBorder="1" applyAlignment="1">
      <alignment horizontal="center" vertical="center"/>
    </xf>
    <xf numFmtId="0" fontId="68" fillId="27" borderId="47" xfId="0" applyFont="1" applyFill="1" applyBorder="1" applyAlignment="1">
      <alignment horizontal="center" vertical="center" wrapText="1"/>
    </xf>
    <xf numFmtId="0" fontId="68" fillId="27" borderId="48" xfId="0" applyFont="1" applyFill="1" applyBorder="1" applyAlignment="1">
      <alignment horizontal="center" vertical="center" wrapText="1"/>
    </xf>
    <xf numFmtId="0" fontId="68" fillId="27" borderId="49" xfId="0" applyFont="1" applyFill="1" applyBorder="1" applyAlignment="1">
      <alignment horizontal="center" vertical="center" wrapText="1"/>
    </xf>
    <xf numFmtId="0" fontId="68" fillId="27" borderId="47" xfId="0" applyFont="1" applyFill="1" applyBorder="1" applyAlignment="1">
      <alignment horizontal="center" vertical="center" textRotation="90" wrapText="1"/>
    </xf>
    <xf numFmtId="0" fontId="68" fillId="27" borderId="48" xfId="0" applyFont="1" applyFill="1" applyBorder="1" applyAlignment="1">
      <alignment horizontal="center" vertical="center" textRotation="90" wrapText="1"/>
    </xf>
    <xf numFmtId="0" fontId="68" fillId="27" borderId="49" xfId="0" applyFont="1" applyFill="1" applyBorder="1" applyAlignment="1">
      <alignment horizontal="center" vertical="center" textRotation="90" wrapText="1"/>
    </xf>
    <xf numFmtId="0" fontId="68" fillId="27" borderId="47" xfId="0" applyFont="1" applyFill="1" applyBorder="1" applyAlignment="1">
      <alignment horizontal="center" vertical="center" textRotation="90"/>
    </xf>
    <xf numFmtId="0" fontId="68" fillId="27" borderId="48" xfId="0" applyFont="1" applyFill="1" applyBorder="1" applyAlignment="1">
      <alignment horizontal="center" vertical="center" textRotation="90"/>
    </xf>
    <xf numFmtId="0" fontId="68" fillId="27" borderId="49" xfId="0" applyFont="1" applyFill="1" applyBorder="1" applyAlignment="1">
      <alignment horizontal="center" vertical="center" textRotation="90"/>
    </xf>
    <xf numFmtId="0" fontId="68" fillId="27" borderId="59" xfId="0" applyFont="1" applyFill="1" applyBorder="1" applyAlignment="1">
      <alignment horizontal="center" vertical="center" wrapText="1"/>
    </xf>
    <xf numFmtId="0" fontId="68" fillId="27" borderId="51" xfId="0" applyFont="1" applyFill="1" applyBorder="1" applyAlignment="1">
      <alignment horizontal="center" vertical="center" wrapText="1"/>
    </xf>
    <xf numFmtId="0" fontId="68" fillId="27" borderId="55" xfId="0" applyFont="1" applyFill="1" applyBorder="1" applyAlignment="1">
      <alignment horizontal="center" vertical="center" wrapText="1"/>
    </xf>
    <xf numFmtId="0" fontId="68" fillId="27" borderId="53" xfId="0" applyFont="1" applyFill="1" applyBorder="1" applyAlignment="1">
      <alignment horizontal="center" vertical="center" wrapText="1"/>
    </xf>
    <xf numFmtId="0" fontId="72" fillId="35" borderId="3" xfId="0" applyFont="1" applyFill="1" applyBorder="1" applyAlignment="1">
      <alignment horizontal="center" vertical="center" wrapText="1"/>
    </xf>
    <xf numFmtId="0" fontId="72" fillId="35" borderId="3" xfId="0" applyFont="1" applyFill="1" applyBorder="1" applyAlignment="1">
      <alignment horizontal="center" vertical="center"/>
    </xf>
    <xf numFmtId="0" fontId="53" fillId="10" borderId="42" xfId="71" applyFont="1" applyFill="1" applyBorder="1" applyAlignment="1">
      <alignment horizontal="center"/>
    </xf>
    <xf numFmtId="0" fontId="72" fillId="35" borderId="20" xfId="0" applyFont="1" applyFill="1" applyBorder="1" applyAlignment="1">
      <alignment horizontal="center" vertical="center" wrapText="1"/>
    </xf>
    <xf numFmtId="0" fontId="72" fillId="35" borderId="22" xfId="0" applyFont="1" applyFill="1" applyBorder="1" applyAlignment="1">
      <alignment horizontal="center" vertical="center" wrapText="1"/>
    </xf>
    <xf numFmtId="0" fontId="73" fillId="5" borderId="3" xfId="0" applyFont="1" applyFill="1" applyBorder="1" applyAlignment="1">
      <alignment horizontal="justify" vertical="center"/>
    </xf>
    <xf numFmtId="0" fontId="34" fillId="4" borderId="3" xfId="0" applyFont="1" applyFill="1" applyBorder="1" applyAlignment="1">
      <alignment horizontal="left" vertical="center"/>
    </xf>
    <xf numFmtId="0" fontId="34" fillId="4" borderId="3" xfId="0" applyFont="1" applyFill="1" applyBorder="1" applyAlignment="1">
      <alignment horizontal="left" vertical="center" wrapText="1"/>
    </xf>
    <xf numFmtId="0" fontId="73" fillId="5" borderId="3" xfId="0" applyFont="1" applyFill="1" applyBorder="1" applyAlignment="1">
      <alignment horizontal="left" vertical="center"/>
    </xf>
    <xf numFmtId="0" fontId="73" fillId="5" borderId="1" xfId="0" applyFont="1" applyFill="1" applyBorder="1" applyAlignment="1">
      <alignment horizontal="center" vertical="center"/>
    </xf>
    <xf numFmtId="0" fontId="73" fillId="5" borderId="2" xfId="0" applyFont="1" applyFill="1" applyBorder="1" applyAlignment="1">
      <alignment horizontal="center" vertical="center"/>
    </xf>
    <xf numFmtId="0" fontId="73" fillId="5" borderId="9" xfId="0" applyFont="1" applyFill="1" applyBorder="1" applyAlignment="1">
      <alignment horizontal="center" vertical="center"/>
    </xf>
    <xf numFmtId="0" fontId="73" fillId="4" borderId="3" xfId="0" applyFont="1" applyFill="1" applyBorder="1" applyAlignment="1">
      <alignment horizontal="left" vertical="center"/>
    </xf>
    <xf numFmtId="0" fontId="73" fillId="5" borderId="3" xfId="0" applyFont="1" applyFill="1" applyBorder="1" applyAlignment="1">
      <alignment horizontal="center" vertical="center"/>
    </xf>
    <xf numFmtId="0" fontId="34" fillId="5" borderId="3" xfId="0" applyFont="1" applyFill="1" applyBorder="1" applyAlignment="1">
      <alignment horizontal="left" vertical="center" wrapText="1"/>
    </xf>
    <xf numFmtId="6" fontId="63" fillId="4" borderId="3" xfId="0" applyNumberFormat="1" applyFont="1" applyFill="1" applyBorder="1" applyAlignment="1">
      <alignment horizontal="right" wrapText="1"/>
    </xf>
    <xf numFmtId="0" fontId="50" fillId="27" borderId="19" xfId="71" applyFont="1" applyFill="1" applyBorder="1" applyAlignment="1">
      <alignment horizontal="center"/>
    </xf>
    <xf numFmtId="0" fontId="62" fillId="27" borderId="3" xfId="0" applyFont="1" applyFill="1" applyBorder="1" applyAlignment="1">
      <alignment horizontal="center" wrapText="1"/>
    </xf>
    <xf numFmtId="3" fontId="63" fillId="4" borderId="3" xfId="0" applyNumberFormat="1" applyFont="1" applyFill="1" applyBorder="1" applyAlignment="1">
      <alignment horizontal="right" wrapText="1"/>
    </xf>
    <xf numFmtId="0" fontId="63" fillId="4" borderId="3" xfId="0" applyFont="1" applyFill="1" applyBorder="1" applyAlignment="1">
      <alignment horizontal="left" wrapText="1"/>
    </xf>
    <xf numFmtId="0" fontId="66" fillId="12" borderId="3" xfId="71" applyFont="1" applyFill="1" applyBorder="1" applyAlignment="1">
      <alignment horizontal="center"/>
    </xf>
    <xf numFmtId="0" fontId="62" fillId="35" borderId="3" xfId="0" applyFont="1" applyFill="1" applyBorder="1" applyAlignment="1">
      <alignment horizontal="center" vertical="center" wrapText="1"/>
    </xf>
    <xf numFmtId="0" fontId="61" fillId="4" borderId="3" xfId="0" applyFont="1" applyFill="1" applyBorder="1" applyAlignment="1">
      <alignment horizontal="left" vertical="center" wrapText="1"/>
    </xf>
    <xf numFmtId="0" fontId="52" fillId="0" borderId="3" xfId="0" applyFont="1" applyBorder="1" applyAlignment="1">
      <alignment horizontal="left" vertical="center" wrapText="1"/>
    </xf>
    <xf numFmtId="0" fontId="3" fillId="36" borderId="1" xfId="71" applyFill="1" applyBorder="1" applyAlignment="1">
      <alignment horizontal="center"/>
    </xf>
    <xf numFmtId="0" fontId="3" fillId="36" borderId="2" xfId="71" applyFill="1" applyBorder="1" applyAlignment="1">
      <alignment horizontal="center"/>
    </xf>
    <xf numFmtId="0" fontId="3" fillId="36" borderId="9" xfId="71" applyFill="1" applyBorder="1" applyAlignment="1">
      <alignment horizontal="center"/>
    </xf>
    <xf numFmtId="0" fontId="62" fillId="35" borderId="3" xfId="0" applyFont="1" applyFill="1" applyBorder="1" applyAlignment="1">
      <alignment horizontal="center" vertical="center" textRotation="90" wrapText="1"/>
    </xf>
    <xf numFmtId="0" fontId="62" fillId="35" borderId="3" xfId="0" applyFont="1" applyFill="1" applyBorder="1" applyAlignment="1">
      <alignment horizontal="center" vertical="center" textRotation="90"/>
    </xf>
    <xf numFmtId="0" fontId="54" fillId="32" borderId="3" xfId="0" applyFont="1" applyFill="1" applyBorder="1" applyAlignment="1">
      <alignment horizontal="center" vertical="center"/>
    </xf>
    <xf numFmtId="0" fontId="54" fillId="33" borderId="3" xfId="0" applyFont="1" applyFill="1" applyBorder="1" applyAlignment="1">
      <alignment horizontal="center" vertical="center"/>
    </xf>
    <xf numFmtId="0" fontId="54" fillId="34" borderId="3" xfId="0" applyFont="1" applyFill="1" applyBorder="1" applyAlignment="1">
      <alignment horizontal="center" vertical="center"/>
    </xf>
    <xf numFmtId="0" fontId="52" fillId="0" borderId="3" xfId="0" applyFont="1" applyBorder="1" applyAlignment="1">
      <alignment horizontal="left" vertical="center"/>
    </xf>
    <xf numFmtId="0" fontId="54" fillId="0" borderId="3" xfId="0" applyFont="1" applyBorder="1" applyAlignment="1">
      <alignment horizontal="left" vertical="center"/>
    </xf>
    <xf numFmtId="0" fontId="64" fillId="4" borderId="1" xfId="0" applyFont="1" applyFill="1" applyBorder="1" applyAlignment="1">
      <alignment horizontal="center" vertical="center" wrapText="1"/>
    </xf>
    <xf numFmtId="0" fontId="64" fillId="4" borderId="2" xfId="0" applyFont="1" applyFill="1" applyBorder="1" applyAlignment="1">
      <alignment horizontal="center" vertical="center" wrapText="1"/>
    </xf>
    <xf numFmtId="0" fontId="64" fillId="4" borderId="9" xfId="0" applyFont="1" applyFill="1" applyBorder="1" applyAlignment="1">
      <alignment horizontal="center" vertical="center" wrapText="1"/>
    </xf>
    <xf numFmtId="0" fontId="52" fillId="0" borderId="65" xfId="0" applyFont="1" applyBorder="1" applyAlignment="1">
      <alignment horizontal="left" vertical="center"/>
    </xf>
    <xf numFmtId="0" fontId="54" fillId="32" borderId="22" xfId="0" applyFont="1" applyFill="1" applyBorder="1" applyAlignment="1">
      <alignment horizontal="center" vertical="center"/>
    </xf>
    <xf numFmtId="0" fontId="22" fillId="31" borderId="8" xfId="0" applyFont="1" applyFill="1" applyBorder="1" applyAlignment="1">
      <alignment horizontal="center"/>
    </xf>
    <xf numFmtId="0" fontId="58" fillId="31" borderId="8" xfId="0" applyFont="1" applyFill="1" applyBorder="1" applyAlignment="1">
      <alignment horizontal="center"/>
    </xf>
    <xf numFmtId="0" fontId="59" fillId="30" borderId="3" xfId="71" applyFont="1" applyFill="1" applyBorder="1" applyAlignment="1">
      <alignment horizontal="center" vertical="center"/>
    </xf>
    <xf numFmtId="0" fontId="59" fillId="30" borderId="1" xfId="71" applyFont="1" applyFill="1" applyBorder="1" applyAlignment="1">
      <alignment horizontal="center" vertical="center"/>
    </xf>
    <xf numFmtId="0" fontId="59" fillId="30" borderId="2" xfId="71" applyFont="1" applyFill="1" applyBorder="1" applyAlignment="1">
      <alignment horizontal="center" vertical="center"/>
    </xf>
    <xf numFmtId="0" fontId="59" fillId="30" borderId="9" xfId="71" applyFont="1" applyFill="1" applyBorder="1" applyAlignment="1">
      <alignment horizontal="center" vertical="center"/>
    </xf>
    <xf numFmtId="0" fontId="57" fillId="26" borderId="20" xfId="71" applyFont="1" applyFill="1" applyBorder="1" applyAlignment="1">
      <alignment horizontal="left" vertical="center"/>
    </xf>
    <xf numFmtId="0" fontId="57" fillId="26" borderId="22" xfId="71" applyFont="1" applyFill="1" applyBorder="1" applyAlignment="1">
      <alignment horizontal="left" vertical="center"/>
    </xf>
    <xf numFmtId="2" fontId="56" fillId="26" borderId="20" xfId="77" applyNumberFormat="1" applyFont="1" applyFill="1" applyBorder="1" applyAlignment="1">
      <alignment horizontal="right" vertical="center"/>
    </xf>
    <xf numFmtId="2" fontId="56" fillId="26" borderId="22" xfId="77" applyNumberFormat="1" applyFont="1" applyFill="1" applyBorder="1" applyAlignment="1">
      <alignment horizontal="right" vertical="center"/>
    </xf>
    <xf numFmtId="0" fontId="56" fillId="26" borderId="20" xfId="71" applyFont="1" applyFill="1" applyBorder="1" applyAlignment="1">
      <alignment horizontal="left" vertical="center" wrapText="1"/>
    </xf>
    <xf numFmtId="0" fontId="56" fillId="26" borderId="22" xfId="71" applyFont="1" applyFill="1" applyBorder="1" applyAlignment="1">
      <alignment horizontal="left" vertical="center" wrapText="1"/>
    </xf>
    <xf numFmtId="0" fontId="22" fillId="31" borderId="0" xfId="0" applyFont="1" applyFill="1" applyAlignment="1">
      <alignment horizontal="center"/>
    </xf>
    <xf numFmtId="0" fontId="56" fillId="26" borderId="3" xfId="71" applyFont="1" applyFill="1" applyBorder="1" applyAlignment="1">
      <alignment horizontal="center" vertical="center" wrapText="1"/>
    </xf>
    <xf numFmtId="2" fontId="56" fillId="26" borderId="3" xfId="77" applyNumberFormat="1" applyFont="1" applyFill="1" applyBorder="1" applyAlignment="1">
      <alignment horizontal="right" vertical="center"/>
    </xf>
    <xf numFmtId="0" fontId="60" fillId="26" borderId="3" xfId="71" applyFont="1" applyFill="1" applyBorder="1" applyAlignment="1">
      <alignment horizontal="left" vertical="center"/>
    </xf>
    <xf numFmtId="0" fontId="57" fillId="26" borderId="3" xfId="71" applyFont="1" applyFill="1" applyBorder="1" applyAlignment="1">
      <alignment horizontal="left" vertical="center"/>
    </xf>
  </cellXfs>
  <cellStyles count="81">
    <cellStyle name="Hipervínculo" xfId="19" builtinId="8" hidden="1"/>
    <cellStyle name="Hipervínculo" xfId="13" builtinId="8" hidden="1"/>
    <cellStyle name="Hipervínculo" xfId="33" builtinId="8" hidden="1"/>
    <cellStyle name="Hipervínculo" xfId="5" builtinId="8" hidden="1"/>
    <cellStyle name="Hipervínculo" xfId="67" builtinId="8" hidden="1"/>
    <cellStyle name="Hipervínculo" xfId="43" builtinId="8" hidden="1"/>
    <cellStyle name="Hipervínculo" xfId="7" builtinId="8" hidden="1"/>
    <cellStyle name="Hipervínculo" xfId="35" builtinId="8" hidden="1"/>
    <cellStyle name="Hipervínculo" xfId="27" builtinId="8" hidden="1"/>
    <cellStyle name="Hipervínculo" xfId="15" builtinId="8" hidden="1"/>
    <cellStyle name="Hipervínculo" xfId="61" builtinId="8" hidden="1"/>
    <cellStyle name="Hipervínculo" xfId="53" builtinId="8" hidden="1"/>
    <cellStyle name="Hipervínculo" xfId="63" builtinId="8" hidden="1"/>
    <cellStyle name="Hipervínculo" xfId="9" builtinId="8" hidden="1"/>
    <cellStyle name="Hipervínculo" xfId="59" builtinId="8" hidden="1"/>
    <cellStyle name="Hipervínculo" xfId="51" builtinId="8" hidden="1"/>
    <cellStyle name="Hipervínculo" xfId="47" builtinId="8" hidden="1"/>
    <cellStyle name="Hipervínculo" xfId="23" builtinId="8" hidden="1"/>
    <cellStyle name="Hipervínculo" xfId="31" builtinId="8" hidden="1"/>
    <cellStyle name="Hipervínculo" xfId="55" builtinId="8" hidden="1"/>
    <cellStyle name="Hipervínculo" xfId="11" builtinId="8" hidden="1"/>
    <cellStyle name="Hipervínculo" xfId="17" builtinId="8" hidden="1"/>
    <cellStyle name="Hipervínculo" xfId="21" builtinId="8" hidden="1"/>
    <cellStyle name="Hipervínculo" xfId="65" builtinId="8" hidden="1"/>
    <cellStyle name="Hipervínculo" xfId="49" builtinId="8" hidden="1"/>
    <cellStyle name="Hipervínculo" xfId="37" builtinId="8" hidden="1"/>
    <cellStyle name="Hipervínculo" xfId="25" builtinId="8" hidden="1"/>
    <cellStyle name="Hipervínculo" xfId="41" builtinId="8" hidden="1"/>
    <cellStyle name="Hipervínculo" xfId="57" builtinId="8" hidden="1"/>
    <cellStyle name="Hipervínculo" xfId="39" builtinId="8" hidden="1"/>
    <cellStyle name="Hipervínculo" xfId="45" builtinId="8" hidden="1"/>
    <cellStyle name="Hipervínculo" xfId="29" builtinId="8" hidden="1"/>
    <cellStyle name="Hipervínculo visitado" xfId="46" builtinId="9" hidden="1"/>
    <cellStyle name="Hipervínculo visitado" xfId="44" builtinId="9" hidden="1"/>
    <cellStyle name="Hipervínculo visitado" xfId="32" builtinId="9" hidden="1"/>
    <cellStyle name="Hipervínculo visitado" xfId="48" builtinId="9" hidden="1"/>
    <cellStyle name="Hipervínculo visitado" xfId="30" builtinId="9" hidden="1"/>
    <cellStyle name="Hipervínculo visitado" xfId="40" builtinId="9" hidden="1"/>
    <cellStyle name="Hipervínculo visitado" xfId="52" builtinId="9" hidden="1"/>
    <cellStyle name="Hipervínculo visitado" xfId="36" builtinId="9" hidden="1"/>
    <cellStyle name="Hipervínculo visitado" xfId="38" builtinId="9" hidden="1"/>
    <cellStyle name="Hipervínculo visitado" xfId="62" builtinId="9" hidden="1"/>
    <cellStyle name="Hipervínculo visitado" xfId="66" builtinId="9" hidden="1"/>
    <cellStyle name="Hipervínculo visitado" xfId="14" builtinId="9" hidden="1"/>
    <cellStyle name="Hipervínculo visitado" xfId="58" builtinId="9" hidden="1"/>
    <cellStyle name="Hipervínculo visitado" xfId="28" builtinId="9" hidden="1"/>
    <cellStyle name="Hipervínculo visitado" xfId="50" builtinId="9" hidden="1"/>
    <cellStyle name="Hipervínculo visitado" xfId="42" builtinId="9" hidden="1"/>
    <cellStyle name="Hipervínculo visitado" xfId="34" builtinId="9" hidden="1"/>
    <cellStyle name="Hipervínculo visitado" xfId="26" builtinId="9" hidden="1"/>
    <cellStyle name="Hipervínculo visitado" xfId="54" builtinId="9" hidden="1"/>
    <cellStyle name="Hipervínculo visitado" xfId="60" builtinId="9" hidden="1"/>
    <cellStyle name="Hipervínculo visitado" xfId="64" builtinId="9" hidden="1"/>
    <cellStyle name="Hipervínculo visitado" xfId="68" builtinId="9" hidden="1"/>
    <cellStyle name="Hipervínculo visitado" xfId="6" builtinId="9" hidden="1"/>
    <cellStyle name="Hipervínculo visitado" xfId="8" builtinId="9" hidden="1"/>
    <cellStyle name="Hipervínculo visitado" xfId="20" builtinId="9" hidden="1"/>
    <cellStyle name="Hipervínculo visitado" xfId="56" builtinId="9" hidden="1"/>
    <cellStyle name="Hipervínculo visitado" xfId="12" builtinId="9" hidden="1"/>
    <cellStyle name="Hipervínculo visitado" xfId="16" builtinId="9" hidden="1"/>
    <cellStyle name="Hipervínculo visitado" xfId="10" builtinId="9" hidden="1"/>
    <cellStyle name="Hipervínculo visitado" xfId="18" builtinId="9" hidden="1"/>
    <cellStyle name="Hipervínculo visitado" xfId="22" builtinId="9" hidden="1"/>
    <cellStyle name="Hipervínculo visitado" xfId="24" builtinId="9" hidden="1"/>
    <cellStyle name="Millares" xfId="4" builtinId="3"/>
    <cellStyle name="Millares 2" xfId="76"/>
    <cellStyle name="Moneda" xfId="74" builtinId="4"/>
    <cellStyle name="Moneda 2" xfId="72"/>
    <cellStyle name="Moneda 3" xfId="75"/>
    <cellStyle name="Moneda 4" xfId="80"/>
    <cellStyle name="Normal" xfId="0" builtinId="0"/>
    <cellStyle name="Normal 101" xfId="79"/>
    <cellStyle name="Normal 2" xfId="1"/>
    <cellStyle name="Normal 2 2" xfId="70"/>
    <cellStyle name="Normal 2 2 2" xfId="71"/>
    <cellStyle name="Normal 3" xfId="3"/>
    <cellStyle name="Normal 4" xfId="69"/>
    <cellStyle name="Per cent 2 2" xfId="78"/>
    <cellStyle name="Porcentaje" xfId="2" builtinId="5"/>
    <cellStyle name="Porcentaje 2" xfId="73"/>
    <cellStyle name="Porcentaje 3" xfId="77"/>
  </cellStyles>
  <dxfs count="15"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1F497D"/>
      <color rgb="FFF4F7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46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s-CO">
                <a:latin typeface="Arial" panose="020B0604020202020204" pitchFamily="34" charset="0"/>
                <a:cs typeface="Arial" panose="020B0604020202020204" pitchFamily="34" charset="0"/>
              </a:rPr>
              <a:t>Distribución eléctrica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975463773135257"/>
          <c:y val="0.36885112018419403"/>
          <c:w val="0.35780827811588872"/>
          <c:h val="0.5167779042059826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4F81BD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44F-4CA6-8A22-80D4AB3058F5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44F-4CA6-8A22-80D4AB3058F5}"/>
              </c:ext>
            </c:extLst>
          </c:dPt>
          <c:dLbls>
            <c:dLbl>
              <c:idx val="4"/>
              <c:layout>
                <c:manualLayout>
                  <c:x val="0.1347074949374098"/>
                  <c:y val="-0.1966531506927797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044F-4CA6-8A22-80D4AB3058F5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0.11574351025363717"/>
                  <c:y val="-1.026877975297746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044F-4CA6-8A22-80D4AB3058F5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CO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Electricidad!$C$20:$C$27</c15:sqref>
                  </c15:fullRef>
                </c:ext>
              </c:extLst>
              <c:f>(Electricidad!$C$20:$C$24,Electricidad!$C$26:$C$27)</c:f>
              <c:strCache>
                <c:ptCount val="7"/>
                <c:pt idx="0">
                  <c:v>Refrigeración</c:v>
                </c:pt>
                <c:pt idx="1">
                  <c:v>HVAC</c:v>
                </c:pt>
                <c:pt idx="2">
                  <c:v>Iluminación</c:v>
                </c:pt>
                <c:pt idx="3">
                  <c:v>Bombeo</c:v>
                </c:pt>
                <c:pt idx="4">
                  <c:v>Ofimáticos</c:v>
                </c:pt>
                <c:pt idx="5">
                  <c:v>Ascensores</c:v>
                </c:pt>
                <c:pt idx="6">
                  <c:v>Otros (equipos de laboratorio de baja intensidad)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Electricidad!$D$20:$D$27</c15:sqref>
                  </c15:fullRef>
                </c:ext>
              </c:extLst>
              <c:f>(Electricidad!$D$20:$D$24,Electricidad!$D$26:$D$27)</c:f>
              <c:numCache>
                <c:formatCode>0.0%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44F-4CA6-8A22-80D4AB305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64379293877843691"/>
          <c:y val="0.13924290163472494"/>
          <c:w val="0.32092383883168379"/>
          <c:h val="0.83277432234895343"/>
        </c:manualLayout>
      </c:layout>
      <c:overlay val="0"/>
      <c:txPr>
        <a:bodyPr/>
        <a:lstStyle/>
        <a:p>
          <a:pPr>
            <a:defRPr>
              <a:latin typeface="Arial" panose="020B0604020202020204" pitchFamily="34" charset="0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zero"/>
    <c:showDLblsOverMax val="1"/>
  </c:chart>
  <c:txPr>
    <a:bodyPr/>
    <a:lstStyle/>
    <a:p>
      <a:pPr>
        <a:defRPr sz="1000"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s-CO" sz="1050">
                <a:latin typeface="Arial" panose="020B0604020202020204" pitchFamily="34" charset="0"/>
                <a:cs typeface="Arial" panose="020B0604020202020204" pitchFamily="34" charset="0"/>
              </a:rPr>
              <a:t>Distribución del costo [%]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25695462771690142"/>
          <c:y val="0.19973766775297047"/>
          <c:w val="0.51086877632422001"/>
          <c:h val="0.70669446524839918"/>
        </c:manualLayout>
      </c:layout>
      <c:pieChart>
        <c:varyColors val="1"/>
        <c:ser>
          <c:idx val="0"/>
          <c:order val="0"/>
          <c:tx>
            <c:strRef>
              <c:f>'Gráficos de control'!$C$1</c:f>
              <c:strCache>
                <c:ptCount val="1"/>
                <c:pt idx="0">
                  <c:v>#¡REF!</c:v>
                </c:pt>
              </c:strCache>
            </c:strRef>
          </c:tx>
          <c:dPt>
            <c:idx val="0"/>
            <c:bubble3D val="0"/>
            <c:spPr>
              <a:solidFill>
                <a:srgbClr val="4F81BD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1CF-4AF5-B654-C2A7D0FC8F82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1CF-4AF5-B654-C2A7D0FC8F82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1CF-4AF5-B654-C2A7D0FC8F82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1CF-4AF5-B654-C2A7D0FC8F82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1CF-4AF5-B654-C2A7D0FC8F82}"/>
              </c:ext>
            </c:extLst>
          </c:dPt>
          <c:dLbls>
            <c:dLbl>
              <c:idx val="0"/>
              <c:layout>
                <c:manualLayout>
                  <c:x val="0.21839080459770124"/>
                  <c:y val="-7.58807588075880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1CF-4AF5-B654-C2A7D0FC8F82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2873563218390804E-2"/>
                  <c:y val="3.613369467028003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01CF-4AF5-B654-C2A7D0FC8F82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3.6781609195402298E-2"/>
                  <c:y val="0.1192411924119241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01CF-4AF5-B654-C2A7D0FC8F82}"/>
                </c:ext>
                <c:ext xmlns:c15="http://schemas.microsoft.com/office/drawing/2012/chart" uri="{CE6537A1-D6FC-4f65-9D91-7224C49458BB}"/>
              </c:extLst>
            </c:dLbl>
            <c:spPr>
              <a:solidFill>
                <a:srgbClr val="FFFFFF"/>
              </a:solidFill>
              <a:ln>
                <a:solidFill>
                  <a:srgbClr val="000000">
                    <a:lumMod val="65000"/>
                    <a:lumOff val="35000"/>
                  </a:srgbClr>
                </a:solidFill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CO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('Gráficos de control'!$A$2,'Gráficos de control'!$A$6,'Gráficos de control'!$A$10:$A$13)</c:f>
              <c:strCache>
                <c:ptCount val="3"/>
                <c:pt idx="0">
                  <c:v>Electricidad</c:v>
                </c:pt>
                <c:pt idx="1">
                  <c:v>Gas</c:v>
                </c:pt>
                <c:pt idx="2">
                  <c:v>Agua</c:v>
                </c:pt>
              </c:strCache>
            </c:strRef>
          </c:cat>
          <c:val>
            <c:numRef>
              <c:f>('Gráficos de control'!$C$3,'Gráficos de control'!$C$7,'Gráficos de control'!$C$11)</c:f>
              <c:numCache>
                <c:formatCode>0.0%</c:formatCode>
                <c:ptCount val="3"/>
                <c:pt idx="0">
                  <c:v>0.93418368058115653</c:v>
                </c:pt>
                <c:pt idx="1">
                  <c:v>8.0126525909972515E-3</c:v>
                </c:pt>
                <c:pt idx="2">
                  <c:v>5.7803666827846219E-2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01CF-4AF5-B654-C2A7D0FC8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7.9713096207801648E-2"/>
          <c:y val="0.40031837483729166"/>
          <c:w val="0.14787311068875009"/>
          <c:h val="0.19602074130977531"/>
        </c:manualLayout>
      </c:layout>
      <c:overlay val="0"/>
    </c:legend>
    <c:plotVisOnly val="1"/>
    <c:dispBlanksAs val="zero"/>
    <c:showDLblsOverMax val="1"/>
  </c:chart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latin typeface="Arial" panose="020B0604020202020204" pitchFamily="34" charset="0"/>
                <a:cs typeface="Arial" panose="020B0604020202020204" pitchFamily="34" charset="0"/>
              </a:rPr>
              <a:t>Consumo de Energía Eléctrica - Gráfico de Control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'Gráficos de control'!$N$4:$N$15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control'!$Q$4:$Q$15</c:f>
              <c:numCache>
                <c:formatCode>0</c:formatCode>
                <c:ptCount val="12"/>
                <c:pt idx="0">
                  <c:v>315156.13704802882</c:v>
                </c:pt>
                <c:pt idx="1">
                  <c:v>315156.13704802882</c:v>
                </c:pt>
                <c:pt idx="2">
                  <c:v>315156.13704802882</c:v>
                </c:pt>
                <c:pt idx="3">
                  <c:v>315156.13704802882</c:v>
                </c:pt>
                <c:pt idx="4">
                  <c:v>315156.13704802882</c:v>
                </c:pt>
                <c:pt idx="5">
                  <c:v>315156.13704802882</c:v>
                </c:pt>
                <c:pt idx="6">
                  <c:v>315156.13704802882</c:v>
                </c:pt>
                <c:pt idx="7">
                  <c:v>315156.13704802882</c:v>
                </c:pt>
                <c:pt idx="8">
                  <c:v>315156.13704802882</c:v>
                </c:pt>
                <c:pt idx="9">
                  <c:v>315156.13704802882</c:v>
                </c:pt>
                <c:pt idx="10">
                  <c:v>315156.13704802882</c:v>
                </c:pt>
                <c:pt idx="11">
                  <c:v>315156.13704802882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C17-4C17-ADE0-0AAB037ED7C4}"/>
            </c:ext>
          </c:extLst>
        </c:ser>
        <c:ser>
          <c:idx val="4"/>
          <c:order val="3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'Gráficos de control'!$N$4:$N$15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control'!$S$4:$S$15</c:f>
              <c:numCache>
                <c:formatCode>0</c:formatCode>
                <c:ptCount val="12"/>
                <c:pt idx="0">
                  <c:v>276250</c:v>
                </c:pt>
                <c:pt idx="1">
                  <c:v>276250</c:v>
                </c:pt>
                <c:pt idx="2">
                  <c:v>276250</c:v>
                </c:pt>
                <c:pt idx="3">
                  <c:v>276250</c:v>
                </c:pt>
                <c:pt idx="4">
                  <c:v>276250</c:v>
                </c:pt>
                <c:pt idx="5">
                  <c:v>276250</c:v>
                </c:pt>
                <c:pt idx="6">
                  <c:v>276250</c:v>
                </c:pt>
                <c:pt idx="7">
                  <c:v>276250</c:v>
                </c:pt>
                <c:pt idx="8">
                  <c:v>276250</c:v>
                </c:pt>
                <c:pt idx="9">
                  <c:v>276250</c:v>
                </c:pt>
                <c:pt idx="10">
                  <c:v>276250</c:v>
                </c:pt>
                <c:pt idx="11">
                  <c:v>276250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C17-4C17-ADE0-0AAB037ED7C4}"/>
            </c:ext>
          </c:extLst>
        </c:ser>
        <c:ser>
          <c:idx val="5"/>
          <c:order val="4"/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'Gráficos de control'!$N$4:$N$15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control'!$T$4:$T$15</c:f>
              <c:numCache>
                <c:formatCode>0</c:formatCode>
                <c:ptCount val="12"/>
                <c:pt idx="0">
                  <c:v>250312.57530131412</c:v>
                </c:pt>
                <c:pt idx="1">
                  <c:v>250312.57530131412</c:v>
                </c:pt>
                <c:pt idx="2">
                  <c:v>250312.57530131412</c:v>
                </c:pt>
                <c:pt idx="3">
                  <c:v>250312.57530131412</c:v>
                </c:pt>
                <c:pt idx="4">
                  <c:v>250312.57530131412</c:v>
                </c:pt>
                <c:pt idx="5">
                  <c:v>250312.57530131412</c:v>
                </c:pt>
                <c:pt idx="6">
                  <c:v>250312.57530131412</c:v>
                </c:pt>
                <c:pt idx="7">
                  <c:v>250312.57530131412</c:v>
                </c:pt>
                <c:pt idx="8">
                  <c:v>250312.57530131412</c:v>
                </c:pt>
                <c:pt idx="9">
                  <c:v>250312.57530131412</c:v>
                </c:pt>
                <c:pt idx="10">
                  <c:v>250312.57530131412</c:v>
                </c:pt>
                <c:pt idx="11">
                  <c:v>250312.57530131412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FC17-4C17-ADE0-0AAB037ED7C4}"/>
            </c:ext>
          </c:extLst>
        </c:ser>
        <c:ser>
          <c:idx val="6"/>
          <c:order val="5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'Gráficos de control'!$N$4:$N$15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control'!$U$4:$U$15</c:f>
              <c:numCache>
                <c:formatCode>0</c:formatCode>
                <c:ptCount val="12"/>
                <c:pt idx="0">
                  <c:v>237343.86295197118</c:v>
                </c:pt>
                <c:pt idx="1">
                  <c:v>237343.86295197118</c:v>
                </c:pt>
                <c:pt idx="2">
                  <c:v>237343.86295197118</c:v>
                </c:pt>
                <c:pt idx="3">
                  <c:v>237343.86295197118</c:v>
                </c:pt>
                <c:pt idx="4">
                  <c:v>237343.86295197118</c:v>
                </c:pt>
                <c:pt idx="5">
                  <c:v>237343.86295197118</c:v>
                </c:pt>
                <c:pt idx="6">
                  <c:v>237343.86295197118</c:v>
                </c:pt>
                <c:pt idx="7">
                  <c:v>237343.86295197118</c:v>
                </c:pt>
                <c:pt idx="8">
                  <c:v>237343.86295197118</c:v>
                </c:pt>
                <c:pt idx="9">
                  <c:v>237343.86295197118</c:v>
                </c:pt>
                <c:pt idx="10">
                  <c:v>237343.86295197118</c:v>
                </c:pt>
                <c:pt idx="11">
                  <c:v>237343.86295197118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FC17-4C17-ADE0-0AAB037ED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52884432"/>
        <c:axId val="-1746706016"/>
      </c:scatterChar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2">
                  <a:lumMod val="50000"/>
                  <a:lumOff val="5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50000"/>
                  <a:lumOff val="50000"/>
                </a:schemeClr>
              </a:solidFill>
              <a:ln w="9525">
                <a:solidFill>
                  <a:schemeClr val="tx2">
                    <a:lumMod val="50000"/>
                    <a:lumOff val="50000"/>
                  </a:schemeClr>
                </a:solidFill>
                <a:prstDash val="solid"/>
              </a:ln>
              <a:effectLst/>
            </c:spPr>
          </c:marker>
          <c:xVal>
            <c:numRef>
              <c:f>'Gráficos de control'!$N$4:$N$15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control'!$O$4:$O$15</c:f>
              <c:numCache>
                <c:formatCode>General</c:formatCode>
                <c:ptCount val="12"/>
                <c:pt idx="0">
                  <c:v>272000</c:v>
                </c:pt>
                <c:pt idx="1">
                  <c:v>297000</c:v>
                </c:pt>
                <c:pt idx="2">
                  <c:v>265000</c:v>
                </c:pt>
                <c:pt idx="3">
                  <c:v>271000</c:v>
                </c:pt>
                <c:pt idx="4">
                  <c:v>269000</c:v>
                </c:pt>
                <c:pt idx="5">
                  <c:v>273000</c:v>
                </c:pt>
                <c:pt idx="6">
                  <c:v>283000</c:v>
                </c:pt>
                <c:pt idx="7">
                  <c:v>274000</c:v>
                </c:pt>
                <c:pt idx="8">
                  <c:v>288000</c:v>
                </c:pt>
                <c:pt idx="9">
                  <c:v>250000</c:v>
                </c:pt>
                <c:pt idx="10">
                  <c:v>275000</c:v>
                </c:pt>
                <c:pt idx="11">
                  <c:v>298000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C17-4C17-ADE0-0AAB037ED7C4}"/>
            </c:ext>
          </c:extLst>
        </c:ser>
        <c:ser>
          <c:idx val="3"/>
          <c:order val="2"/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'Gráficos de control'!$N$4:$N$15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control'!$R$4:$R$15</c:f>
              <c:numCache>
                <c:formatCode>0</c:formatCode>
                <c:ptCount val="12"/>
                <c:pt idx="0">
                  <c:v>302187.42469868588</c:v>
                </c:pt>
                <c:pt idx="1">
                  <c:v>302187.42469868588</c:v>
                </c:pt>
                <c:pt idx="2">
                  <c:v>302187.42469868588</c:v>
                </c:pt>
                <c:pt idx="3">
                  <c:v>302187.42469868588</c:v>
                </c:pt>
                <c:pt idx="4">
                  <c:v>302187.42469868588</c:v>
                </c:pt>
                <c:pt idx="5">
                  <c:v>302187.42469868588</c:v>
                </c:pt>
                <c:pt idx="6">
                  <c:v>302187.42469868588</c:v>
                </c:pt>
                <c:pt idx="7">
                  <c:v>302187.42469868588</c:v>
                </c:pt>
                <c:pt idx="8">
                  <c:v>302187.42469868588</c:v>
                </c:pt>
                <c:pt idx="9">
                  <c:v>302187.42469868588</c:v>
                </c:pt>
                <c:pt idx="10">
                  <c:v>302187.42469868588</c:v>
                </c:pt>
                <c:pt idx="11">
                  <c:v>302187.42469868588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FC17-4C17-ADE0-0AAB037ED7C4}"/>
            </c:ext>
          </c:extLst>
        </c:ser>
        <c:ser>
          <c:idx val="7"/>
          <c:order val="6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'Gráficos de control'!$N$4:$N$15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control'!$AF$4:$AF$15</c:f>
              <c:numCache>
                <c:formatCode>0.00</c:formatCode>
                <c:ptCount val="12"/>
                <c:pt idx="0">
                  <c:v>81.2</c:v>
                </c:pt>
                <c:pt idx="1">
                  <c:v>81.2</c:v>
                </c:pt>
                <c:pt idx="2">
                  <c:v>81.2</c:v>
                </c:pt>
                <c:pt idx="3">
                  <c:v>81.2</c:v>
                </c:pt>
                <c:pt idx="4">
                  <c:v>81.2</c:v>
                </c:pt>
                <c:pt idx="5">
                  <c:v>81.2</c:v>
                </c:pt>
                <c:pt idx="6">
                  <c:v>81.2</c:v>
                </c:pt>
                <c:pt idx="7">
                  <c:v>81.2</c:v>
                </c:pt>
                <c:pt idx="8">
                  <c:v>81.2</c:v>
                </c:pt>
                <c:pt idx="9">
                  <c:v>81.2</c:v>
                </c:pt>
                <c:pt idx="10">
                  <c:v>81.2</c:v>
                </c:pt>
                <c:pt idx="11">
                  <c:v>81.2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434-4DED-A630-17493B193EDF}"/>
            </c:ext>
          </c:extLst>
        </c:ser>
        <c:ser>
          <c:idx val="8"/>
          <c:order val="7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'Gráficos de control'!$N$4:$N$15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control'!$AF$4:$AF$15</c:f>
              <c:numCache>
                <c:formatCode>0.00</c:formatCode>
                <c:ptCount val="12"/>
                <c:pt idx="0">
                  <c:v>81.2</c:v>
                </c:pt>
                <c:pt idx="1">
                  <c:v>81.2</c:v>
                </c:pt>
                <c:pt idx="2">
                  <c:v>81.2</c:v>
                </c:pt>
                <c:pt idx="3">
                  <c:v>81.2</c:v>
                </c:pt>
                <c:pt idx="4">
                  <c:v>81.2</c:v>
                </c:pt>
                <c:pt idx="5">
                  <c:v>81.2</c:v>
                </c:pt>
                <c:pt idx="6">
                  <c:v>81.2</c:v>
                </c:pt>
                <c:pt idx="7">
                  <c:v>81.2</c:v>
                </c:pt>
                <c:pt idx="8">
                  <c:v>81.2</c:v>
                </c:pt>
                <c:pt idx="9">
                  <c:v>81.2</c:v>
                </c:pt>
                <c:pt idx="10">
                  <c:v>81.2</c:v>
                </c:pt>
                <c:pt idx="11">
                  <c:v>81.2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434-4DED-A630-17493B193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52884432"/>
        <c:axId val="-1746706016"/>
      </c:scatterChart>
      <c:valAx>
        <c:axId val="-1552884432"/>
        <c:scaling>
          <c:orientation val="minMax"/>
          <c:max val="12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>
                    <a:latin typeface="Arial" panose="020B0604020202020204" pitchFamily="34" charset="0"/>
                    <a:cs typeface="Arial" panose="020B0604020202020204" pitchFamily="34" charset="0"/>
                  </a:rPr>
                  <a:t>Mes del 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-1746706016"/>
        <c:crosses val="autoZero"/>
        <c:crossBetween val="midCat"/>
        <c:majorUnit val="1"/>
      </c:valAx>
      <c:valAx>
        <c:axId val="-1746706016"/>
        <c:scaling>
          <c:orientation val="minMax"/>
          <c:min val="175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>
                    <a:latin typeface="Arial" panose="020B0604020202020204" pitchFamily="34" charset="0"/>
                    <a:cs typeface="Arial" panose="020B0604020202020204" pitchFamily="34" charset="0"/>
                  </a:rPr>
                  <a:t>Emergía eléctrica [kWh/mes]</a:t>
                </a:r>
              </a:p>
            </c:rich>
          </c:tx>
          <c:layout>
            <c:manualLayout>
              <c:xMode val="edge"/>
              <c:yMode val="edge"/>
              <c:x val="1.6260170101403279E-2"/>
              <c:y val="0.216604637882585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552884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Arial (Cuerpo)"/>
                <a:ea typeface="+mn-ea"/>
                <a:cs typeface="+mn-cs"/>
              </a:defRPr>
            </a:pPr>
            <a:r>
              <a:rPr lang="es-CO"/>
              <a:t>CUSUM del</a:t>
            </a:r>
            <a:r>
              <a:rPr lang="es-CO" baseline="0"/>
              <a:t> desempeño energetico - 2022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Arial (Cuerpo)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199993961352657"/>
          <c:y val="0.13250740740740741"/>
          <c:w val="0.84782113526570035"/>
          <c:h val="0.76753888888888888"/>
        </c:manualLayout>
      </c:layout>
      <c:scatterChart>
        <c:scatterStyle val="lineMarker"/>
        <c:varyColors val="0"/>
        <c:ser>
          <c:idx val="0"/>
          <c:order val="0"/>
          <c:tx>
            <c:v>Disminución del desempeño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28575">
                <a:solidFill>
                  <a:srgbClr val="FF0000"/>
                </a:solidFill>
                <a:prstDash val="solid"/>
              </a:ln>
              <a:effectLst/>
            </c:spPr>
          </c:marker>
          <c:xVal>
            <c:numRef>
              <c:f>'Gráficos de control'!$V$4:$V$15</c:f>
              <c:numCache>
                <c:formatCode>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control'!$X$4:$X$15</c:f>
              <c:numCache>
                <c:formatCode>General</c:formatCode>
                <c:ptCount val="12"/>
                <c:pt idx="0">
                  <c:v>#N/A</c:v>
                </c:pt>
                <c:pt idx="1">
                  <c:v>16500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-3750</c:v>
                </c:pt>
                <c:pt idx="7">
                  <c:v>#N/A</c:v>
                </c:pt>
                <c:pt idx="8">
                  <c:v>5750</c:v>
                </c:pt>
                <c:pt idx="9">
                  <c:v>#N/A</c:v>
                </c:pt>
                <c:pt idx="10">
                  <c:v>#N/A</c:v>
                </c:pt>
                <c:pt idx="11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319-47B5-A94F-622BE013BE82}"/>
            </c:ext>
          </c:extLst>
        </c:ser>
        <c:ser>
          <c:idx val="1"/>
          <c:order val="1"/>
          <c:tx>
            <c:v>Aumento del desempeño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00B050"/>
              </a:solidFill>
              <a:ln w="19050">
                <a:solidFill>
                  <a:srgbClr val="00B050"/>
                </a:solidFill>
              </a:ln>
              <a:effectLst/>
            </c:spPr>
          </c:marker>
          <c:xVal>
            <c:numRef>
              <c:f>'Gráficos de control'!$V$4:$V$15</c:f>
              <c:numCache>
                <c:formatCode>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control'!$Y$4:$Y$15</c:f>
              <c:numCache>
                <c:formatCode>General</c:formatCode>
                <c:ptCount val="12"/>
                <c:pt idx="0">
                  <c:v>-4250</c:v>
                </c:pt>
                <c:pt idx="1">
                  <c:v>#N/A</c:v>
                </c:pt>
                <c:pt idx="2">
                  <c:v>5250</c:v>
                </c:pt>
                <c:pt idx="3">
                  <c:v>0</c:v>
                </c:pt>
                <c:pt idx="4">
                  <c:v>-7250</c:v>
                </c:pt>
                <c:pt idx="5">
                  <c:v>-10500</c:v>
                </c:pt>
                <c:pt idx="6">
                  <c:v>#N/A</c:v>
                </c:pt>
                <c:pt idx="7">
                  <c:v>-6000</c:v>
                </c:pt>
                <c:pt idx="8">
                  <c:v>#N/A</c:v>
                </c:pt>
                <c:pt idx="9">
                  <c:v>-20500</c:v>
                </c:pt>
                <c:pt idx="10">
                  <c:v>-21750</c:v>
                </c:pt>
                <c:pt idx="11">
                  <c:v>#N/A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319-47B5-A94F-622BE013BE82}"/>
            </c:ext>
          </c:extLst>
        </c:ser>
        <c:ser>
          <c:idx val="2"/>
          <c:order val="2"/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'Gráficos de control'!$V$4:$V$15</c:f>
              <c:numCache>
                <c:formatCode>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control'!$W$4:$W$15</c:f>
              <c:numCache>
                <c:formatCode>0</c:formatCode>
                <c:ptCount val="12"/>
                <c:pt idx="0">
                  <c:v>-4250</c:v>
                </c:pt>
                <c:pt idx="1">
                  <c:v>16500</c:v>
                </c:pt>
                <c:pt idx="2">
                  <c:v>5250</c:v>
                </c:pt>
                <c:pt idx="3">
                  <c:v>0</c:v>
                </c:pt>
                <c:pt idx="4">
                  <c:v>-7250</c:v>
                </c:pt>
                <c:pt idx="5">
                  <c:v>-10500</c:v>
                </c:pt>
                <c:pt idx="6">
                  <c:v>-3750</c:v>
                </c:pt>
                <c:pt idx="7">
                  <c:v>-6000</c:v>
                </c:pt>
                <c:pt idx="8">
                  <c:v>5750</c:v>
                </c:pt>
                <c:pt idx="9">
                  <c:v>-20500</c:v>
                </c:pt>
                <c:pt idx="10">
                  <c:v>-21750</c:v>
                </c:pt>
                <c:pt idx="11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319-47B5-A94F-622BE013BE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46710368"/>
        <c:axId val="-1746707104"/>
      </c:scatterChart>
      <c:valAx>
        <c:axId val="-1746710368"/>
        <c:scaling>
          <c:orientation val="minMax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(Cuerpo)"/>
                    <a:ea typeface="+mn-ea"/>
                    <a:cs typeface="+mn-cs"/>
                  </a:defRPr>
                </a:pPr>
                <a:r>
                  <a:rPr lang="es-CO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(Cuerpo)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 (Cuerpo)"/>
                <a:ea typeface="+mn-ea"/>
                <a:cs typeface="+mn-cs"/>
              </a:defRPr>
            </a:pPr>
            <a:endParaRPr lang="es-CO"/>
          </a:p>
        </c:txPr>
        <c:crossAx val="-1746707104"/>
        <c:crosses val="autoZero"/>
        <c:crossBetween val="midCat"/>
        <c:majorUnit val="1"/>
      </c:valAx>
      <c:valAx>
        <c:axId val="-17467071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(Cuerpo)"/>
                    <a:ea typeface="+mn-ea"/>
                    <a:cs typeface="+mn-cs"/>
                  </a:defRPr>
                </a:pPr>
                <a:r>
                  <a:rPr lang="es-CO"/>
                  <a:t>Energía eléctrica</a:t>
                </a:r>
                <a:r>
                  <a:rPr lang="es-CO" baseline="0"/>
                  <a:t> [kWh/mes]</a:t>
                </a:r>
                <a:endParaRPr lang="es-CO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(Cuerpo)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 (Cuerpo)"/>
                <a:ea typeface="+mn-ea"/>
                <a:cs typeface="+mn-cs"/>
              </a:defRPr>
            </a:pPr>
            <a:endParaRPr lang="es-CO"/>
          </a:p>
        </c:txPr>
        <c:crossAx val="-1746710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7386070048309179"/>
          <c:y val="9.3675617283950657E-2"/>
          <c:w val="0.19936159420289859"/>
          <c:h val="0.199701881096821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Arial (Cuerpo)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Arial (Cuerpo)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latin typeface="Arial" panose="020B0604020202020204" pitchFamily="34" charset="0"/>
                <a:cs typeface="Arial" panose="020B0604020202020204" pitchFamily="34" charset="0"/>
              </a:rPr>
              <a:t>Consumo de Agua - Gráfico de Control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2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'Gráficos de control'!$AJ$4:$AJ$15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control'!$AM$4:$AM$15</c:f>
              <c:numCache>
                <c:formatCode>0</c:formatCode>
                <c:ptCount val="12"/>
                <c:pt idx="0">
                  <c:v>4077.0518052045272</c:v>
                </c:pt>
                <c:pt idx="1">
                  <c:v>4077.0518052045272</c:v>
                </c:pt>
                <c:pt idx="2">
                  <c:v>4077.0518052045272</c:v>
                </c:pt>
                <c:pt idx="3">
                  <c:v>4077.0518052045272</c:v>
                </c:pt>
                <c:pt idx="4">
                  <c:v>4077.0518052045272</c:v>
                </c:pt>
                <c:pt idx="5">
                  <c:v>4077.0518052045272</c:v>
                </c:pt>
                <c:pt idx="6">
                  <c:v>4077.0518052045272</c:v>
                </c:pt>
                <c:pt idx="7">
                  <c:v>4077.0518052045272</c:v>
                </c:pt>
                <c:pt idx="8">
                  <c:v>4077.0518052045272</c:v>
                </c:pt>
                <c:pt idx="9">
                  <c:v>4077.0518052045272</c:v>
                </c:pt>
                <c:pt idx="10">
                  <c:v>4077.0518052045272</c:v>
                </c:pt>
                <c:pt idx="11">
                  <c:v>4077.0518052045272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FD1-4E6C-B6D5-BD4A93D389B2}"/>
            </c:ext>
          </c:extLst>
        </c:ser>
        <c:ser>
          <c:idx val="4"/>
          <c:order val="4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'Gráficos de control'!$AJ$4:$AJ$15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control'!$AO$4:$AO$15</c:f>
              <c:numCache>
                <c:formatCode>0</c:formatCode>
                <c:ptCount val="12"/>
                <c:pt idx="0">
                  <c:v>1840.1818181818182</c:v>
                </c:pt>
                <c:pt idx="1">
                  <c:v>1840.1818181818182</c:v>
                </c:pt>
                <c:pt idx="2">
                  <c:v>1840.1818181818182</c:v>
                </c:pt>
                <c:pt idx="3">
                  <c:v>1840.1818181818182</c:v>
                </c:pt>
                <c:pt idx="4">
                  <c:v>1840.1818181818182</c:v>
                </c:pt>
                <c:pt idx="5">
                  <c:v>1840.1818181818182</c:v>
                </c:pt>
                <c:pt idx="6">
                  <c:v>1840.1818181818182</c:v>
                </c:pt>
                <c:pt idx="7">
                  <c:v>1840.1818181818182</c:v>
                </c:pt>
                <c:pt idx="8">
                  <c:v>1840.1818181818182</c:v>
                </c:pt>
                <c:pt idx="9">
                  <c:v>1840.1818181818182</c:v>
                </c:pt>
                <c:pt idx="10">
                  <c:v>1840.1818181818182</c:v>
                </c:pt>
                <c:pt idx="11">
                  <c:v>1840.1818181818182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9FD1-4E6C-B6D5-BD4A93D389B2}"/>
            </c:ext>
          </c:extLst>
        </c:ser>
        <c:ser>
          <c:idx val="5"/>
          <c:order val="5"/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'Gráficos de control'!$AJ$4:$AJ$15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control'!$AP$4:$AP$15</c:f>
              <c:numCache>
                <c:formatCode>0</c:formatCode>
                <c:ptCount val="12"/>
                <c:pt idx="0">
                  <c:v>348.93516016667877</c:v>
                </c:pt>
                <c:pt idx="1">
                  <c:v>348.93516016667877</c:v>
                </c:pt>
                <c:pt idx="2">
                  <c:v>348.93516016667877</c:v>
                </c:pt>
                <c:pt idx="3">
                  <c:v>348.93516016667877</c:v>
                </c:pt>
                <c:pt idx="4">
                  <c:v>348.93516016667877</c:v>
                </c:pt>
                <c:pt idx="5">
                  <c:v>348.93516016667877</c:v>
                </c:pt>
                <c:pt idx="6">
                  <c:v>348.93516016667877</c:v>
                </c:pt>
                <c:pt idx="7">
                  <c:v>348.93516016667877</c:v>
                </c:pt>
                <c:pt idx="8">
                  <c:v>348.93516016667877</c:v>
                </c:pt>
                <c:pt idx="9">
                  <c:v>348.93516016667877</c:v>
                </c:pt>
                <c:pt idx="10">
                  <c:v>348.93516016667877</c:v>
                </c:pt>
                <c:pt idx="11">
                  <c:v>348.93516016667877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9FD1-4E6C-B6D5-BD4A93D389B2}"/>
            </c:ext>
          </c:extLst>
        </c:ser>
        <c:ser>
          <c:idx val="6"/>
          <c:order val="6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'Gráficos de control'!$AJ$4:$AJ$15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control'!$AQ$4:$AQ$15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9FD1-4E6C-B6D5-BD4A93D389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46703296"/>
        <c:axId val="-1746704384"/>
      </c:scatterChar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2">
                  <a:lumMod val="50000"/>
                  <a:lumOff val="5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50000"/>
                  <a:lumOff val="50000"/>
                </a:schemeClr>
              </a:solidFill>
              <a:ln w="9525">
                <a:solidFill>
                  <a:schemeClr val="tx2">
                    <a:lumMod val="50000"/>
                    <a:lumOff val="50000"/>
                  </a:schemeClr>
                </a:solidFill>
                <a:prstDash val="solid"/>
              </a:ln>
              <a:effectLst/>
            </c:spPr>
          </c:marker>
          <c:xVal>
            <c:numRef>
              <c:f>'Gráficos de control'!$AJ$4:$AJ$15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control'!$AK$4:$AK$15</c:f>
              <c:numCache>
                <c:formatCode>General</c:formatCode>
                <c:ptCount val="12"/>
                <c:pt idx="0">
                  <c:v>0</c:v>
                </c:pt>
                <c:pt idx="1">
                  <c:v>2923</c:v>
                </c:pt>
                <c:pt idx="2">
                  <c:v>3793</c:v>
                </c:pt>
                <c:pt idx="3">
                  <c:v>1266</c:v>
                </c:pt>
                <c:pt idx="4">
                  <c:v>1445</c:v>
                </c:pt>
                <c:pt idx="5">
                  <c:v>1481</c:v>
                </c:pt>
                <c:pt idx="6">
                  <c:v>1516</c:v>
                </c:pt>
                <c:pt idx="7">
                  <c:v>1429</c:v>
                </c:pt>
                <c:pt idx="8">
                  <c:v>1617</c:v>
                </c:pt>
                <c:pt idx="9">
                  <c:v>1633</c:v>
                </c:pt>
                <c:pt idx="10">
                  <c:v>1594</c:v>
                </c:pt>
                <c:pt idx="11">
                  <c:v>1545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9FD1-4E6C-B6D5-BD4A93D389B2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olid"/>
              </a:ln>
              <a:effectLst/>
            </c:spPr>
          </c:marker>
          <c:xVal>
            <c:numRef>
              <c:f>'Gráficos de control'!$AN$16:$AN$21</c:f>
              <c:numCache>
                <c:formatCode>0</c:formatCode>
                <c:ptCount val="6"/>
                <c:pt idx="0">
                  <c:v>3331.4284761969575</c:v>
                </c:pt>
                <c:pt idx="1">
                  <c:v>3331.4284761969575</c:v>
                </c:pt>
                <c:pt idx="2">
                  <c:v>3331.4284761969575</c:v>
                </c:pt>
                <c:pt idx="3">
                  <c:v>3331.4284761969575</c:v>
                </c:pt>
                <c:pt idx="4">
                  <c:v>3331.4284761969575</c:v>
                </c:pt>
                <c:pt idx="5">
                  <c:v>3331.4284761969575</c:v>
                </c:pt>
              </c:numCache>
            </c:numRef>
          </c:xVal>
          <c:yVal>
            <c:numRef>
              <c:f>'Gráficos de control'!$AO$16:$AO$21</c:f>
              <c:numCache>
                <c:formatCode>0</c:formatCode>
                <c:ptCount val="6"/>
                <c:pt idx="0">
                  <c:v>1840.1818181818182</c:v>
                </c:pt>
                <c:pt idx="1">
                  <c:v>1840.1818181818182</c:v>
                </c:pt>
                <c:pt idx="2">
                  <c:v>1840.1818181818182</c:v>
                </c:pt>
                <c:pt idx="3">
                  <c:v>1840.1818181818182</c:v>
                </c:pt>
                <c:pt idx="4">
                  <c:v>1840.1818181818182</c:v>
                </c:pt>
                <c:pt idx="5">
                  <c:v>1840.1818181818182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9FD1-4E6C-B6D5-BD4A93D389B2}"/>
            </c:ext>
          </c:extLst>
        </c:ser>
        <c:ser>
          <c:idx val="3"/>
          <c:order val="3"/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'Gráficos de control'!$AJ$4:$AJ$15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control'!$AN$4:$AN$15</c:f>
              <c:numCache>
                <c:formatCode>0</c:formatCode>
                <c:ptCount val="12"/>
                <c:pt idx="0">
                  <c:v>3331.4284761969575</c:v>
                </c:pt>
                <c:pt idx="1">
                  <c:v>3331.4284761969575</c:v>
                </c:pt>
                <c:pt idx="2">
                  <c:v>3331.4284761969575</c:v>
                </c:pt>
                <c:pt idx="3">
                  <c:v>3331.4284761969575</c:v>
                </c:pt>
                <c:pt idx="4">
                  <c:v>3331.4284761969575</c:v>
                </c:pt>
                <c:pt idx="5">
                  <c:v>3331.4284761969575</c:v>
                </c:pt>
                <c:pt idx="6">
                  <c:v>3331.4284761969575</c:v>
                </c:pt>
                <c:pt idx="7">
                  <c:v>3331.4284761969575</c:v>
                </c:pt>
                <c:pt idx="8">
                  <c:v>3331.4284761969575</c:v>
                </c:pt>
                <c:pt idx="9">
                  <c:v>3331.4284761969575</c:v>
                </c:pt>
                <c:pt idx="10">
                  <c:v>3331.4284761969575</c:v>
                </c:pt>
                <c:pt idx="11">
                  <c:v>3331.4284761969575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FD1-4E6C-B6D5-BD4A93D389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46703296"/>
        <c:axId val="-1746704384"/>
      </c:scatterChart>
      <c:valAx>
        <c:axId val="-1746703296"/>
        <c:scaling>
          <c:orientation val="minMax"/>
          <c:max val="12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>
                    <a:latin typeface="Arial" panose="020B0604020202020204" pitchFamily="34" charset="0"/>
                    <a:cs typeface="Arial" panose="020B0604020202020204" pitchFamily="34" charset="0"/>
                  </a:rPr>
                  <a:t>Mes del 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746704384"/>
        <c:crosses val="autoZero"/>
        <c:crossBetween val="midCat"/>
        <c:majorUnit val="1"/>
      </c:valAx>
      <c:valAx>
        <c:axId val="-17467043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>
                    <a:latin typeface="Arial" panose="020B0604020202020204" pitchFamily="34" charset="0"/>
                    <a:cs typeface="Arial" panose="020B0604020202020204" pitchFamily="34" charset="0"/>
                  </a:rPr>
                  <a:t>Consumo</a:t>
                </a:r>
                <a:r>
                  <a:rPr lang="es-CO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 agua</a:t>
                </a:r>
                <a:r>
                  <a:rPr lang="es-CO">
                    <a:latin typeface="Arial" panose="020B0604020202020204" pitchFamily="34" charset="0"/>
                    <a:cs typeface="Arial" panose="020B0604020202020204" pitchFamily="34" charset="0"/>
                  </a:rPr>
                  <a:t> [m^3</a:t>
                </a:r>
                <a:r>
                  <a:rPr lang="es-CO" baseline="0">
                    <a:latin typeface="Arial" panose="020B0604020202020204" pitchFamily="34" charset="0"/>
                    <a:cs typeface="Arial" panose="020B0604020202020204" pitchFamily="34" charset="0"/>
                  </a:rPr>
                  <a:t> agua</a:t>
                </a:r>
                <a:r>
                  <a:rPr lang="es-CO">
                    <a:latin typeface="Arial" panose="020B0604020202020204" pitchFamily="34" charset="0"/>
                    <a:cs typeface="Arial" panose="020B0604020202020204" pitchFamily="34" charset="0"/>
                  </a:rPr>
                  <a:t>/mes]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746703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Arial (Cuerpo)"/>
                <a:ea typeface="+mn-ea"/>
                <a:cs typeface="+mn-cs"/>
              </a:defRPr>
            </a:pPr>
            <a:r>
              <a:rPr lang="es-CO"/>
              <a:t>CUSUM de consumo de agua  -</a:t>
            </a:r>
            <a:r>
              <a:rPr lang="es-CO" baseline="0"/>
              <a:t> 2022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Arial (Cuerpo)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199993961352657"/>
          <c:y val="0.13250740740740741"/>
          <c:w val="0.84782113526570035"/>
          <c:h val="0.76753888888888888"/>
        </c:manualLayout>
      </c:layout>
      <c:scatterChart>
        <c:scatterStyle val="lineMarker"/>
        <c:varyColors val="0"/>
        <c:ser>
          <c:idx val="0"/>
          <c:order val="0"/>
          <c:tx>
            <c:v>Disminución del desempeño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28575">
                <a:solidFill>
                  <a:srgbClr val="FF0000"/>
                </a:solidFill>
                <a:prstDash val="solid"/>
              </a:ln>
              <a:effectLst/>
            </c:spPr>
          </c:marker>
          <c:xVal>
            <c:numRef>
              <c:f>'Gráficos de control'!$V$4:$V$20</c:f>
              <c:numCache>
                <c:formatCode>0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</c:numCache>
            </c:numRef>
          </c:xVal>
          <c:yVal>
            <c:numRef>
              <c:f>'Gráficos de control'!$AT$4:$AT$20</c:f>
              <c:numCache>
                <c:formatCode>General</c:formatCode>
                <c:ptCount val="17"/>
                <c:pt idx="0">
                  <c:v>#N/A</c:v>
                </c:pt>
                <c:pt idx="1">
                  <c:v>1082.8181818181818</c:v>
                </c:pt>
                <c:pt idx="2">
                  <c:v>3035.6363636363635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0FB-4122-8A63-124CD851810E}"/>
            </c:ext>
          </c:extLst>
        </c:ser>
        <c:ser>
          <c:idx val="1"/>
          <c:order val="1"/>
          <c:tx>
            <c:v>Aumento del desempeño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00B050"/>
              </a:solidFill>
              <a:ln w="19050">
                <a:solidFill>
                  <a:srgbClr val="00B050"/>
                </a:solidFill>
              </a:ln>
              <a:effectLst/>
            </c:spPr>
          </c:marker>
          <c:xVal>
            <c:numRef>
              <c:f>'Gráficos de control'!$V$4:$V$20</c:f>
              <c:numCache>
                <c:formatCode>0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</c:numCache>
            </c:numRef>
          </c:xVal>
          <c:yVal>
            <c:numRef>
              <c:f>'Gráficos de control'!$AU$4:$AU$20</c:f>
              <c:numCache>
                <c:formatCode>0</c:formatCode>
                <c:ptCount val="17"/>
                <c:pt idx="0">
                  <c:v>0</c:v>
                </c:pt>
                <c:pt idx="1">
                  <c:v>#N/A</c:v>
                </c:pt>
                <c:pt idx="2">
                  <c:v>#N/A</c:v>
                </c:pt>
                <c:pt idx="3">
                  <c:v>2461.454545454545</c:v>
                </c:pt>
                <c:pt idx="4">
                  <c:v>2066.272727272727</c:v>
                </c:pt>
                <c:pt idx="5">
                  <c:v>1707.0909090909088</c:v>
                </c:pt>
                <c:pt idx="6">
                  <c:v>1382.9090909090905</c:v>
                </c:pt>
                <c:pt idx="7">
                  <c:v>971.72727272727229</c:v>
                </c:pt>
                <c:pt idx="8">
                  <c:v>748.54545454545405</c:v>
                </c:pt>
                <c:pt idx="9">
                  <c:v>541.36363636363581</c:v>
                </c:pt>
                <c:pt idx="10">
                  <c:v>295.18181818181756</c:v>
                </c:pt>
                <c:pt idx="11">
                  <c:v>-6.8212102632969618E-13</c:v>
                </c:pt>
                <c:pt idx="12">
                  <c:v>-295.18181818181893</c:v>
                </c:pt>
                <c:pt idx="13">
                  <c:v>-590.36363636363717</c:v>
                </c:pt>
                <c:pt idx="14">
                  <c:v>-885.54545454545541</c:v>
                </c:pt>
                <c:pt idx="15">
                  <c:v>-1180.7272727272737</c:v>
                </c:pt>
                <c:pt idx="16">
                  <c:v>-1475.9090909090919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0FB-4122-8A63-124CD851810E}"/>
            </c:ext>
          </c:extLst>
        </c:ser>
        <c:ser>
          <c:idx val="2"/>
          <c:order val="2"/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'Gráficos de control'!$V$4:$V$20</c:f>
              <c:numCache>
                <c:formatCode>0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</c:numCache>
            </c:numRef>
          </c:xVal>
          <c:yVal>
            <c:numRef>
              <c:f>'Gráficos de control'!$AS$4:$AS$20</c:f>
              <c:numCache>
                <c:formatCode>0</c:formatCode>
                <c:ptCount val="17"/>
                <c:pt idx="0">
                  <c:v>0</c:v>
                </c:pt>
                <c:pt idx="1">
                  <c:v>1082.8181818181818</c:v>
                </c:pt>
                <c:pt idx="2">
                  <c:v>3035.6363636363635</c:v>
                </c:pt>
                <c:pt idx="3">
                  <c:v>2461.454545454545</c:v>
                </c:pt>
                <c:pt idx="4">
                  <c:v>2066.272727272727</c:v>
                </c:pt>
                <c:pt idx="5">
                  <c:v>1707.0909090909088</c:v>
                </c:pt>
                <c:pt idx="6">
                  <c:v>1382.9090909090905</c:v>
                </c:pt>
                <c:pt idx="7">
                  <c:v>971.72727272727229</c:v>
                </c:pt>
                <c:pt idx="8">
                  <c:v>748.54545454545405</c:v>
                </c:pt>
                <c:pt idx="9">
                  <c:v>541.36363636363581</c:v>
                </c:pt>
                <c:pt idx="10">
                  <c:v>295.18181818181756</c:v>
                </c:pt>
                <c:pt idx="11">
                  <c:v>-6.8212102632969618E-13</c:v>
                </c:pt>
                <c:pt idx="12">
                  <c:v>-295.18181818181893</c:v>
                </c:pt>
                <c:pt idx="13">
                  <c:v>-590.36363636363717</c:v>
                </c:pt>
                <c:pt idx="14">
                  <c:v>-885.54545454545541</c:v>
                </c:pt>
                <c:pt idx="15">
                  <c:v>-1180.7272727272737</c:v>
                </c:pt>
                <c:pt idx="16">
                  <c:v>-1475.9090909090919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0FB-4122-8A63-124CD85181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46703840"/>
        <c:axId val="-1746705472"/>
      </c:scatterChart>
      <c:valAx>
        <c:axId val="-1746703840"/>
        <c:scaling>
          <c:orientation val="minMax"/>
          <c:max val="12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(Cuerpo)"/>
                    <a:ea typeface="+mn-ea"/>
                    <a:cs typeface="+mn-cs"/>
                  </a:defRPr>
                </a:pPr>
                <a:r>
                  <a:rPr lang="es-CO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(Cuerpo)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 (Cuerpo)"/>
                <a:ea typeface="+mn-ea"/>
                <a:cs typeface="+mn-cs"/>
              </a:defRPr>
            </a:pPr>
            <a:endParaRPr lang="es-CO"/>
          </a:p>
        </c:txPr>
        <c:crossAx val="-1746705472"/>
        <c:crosses val="autoZero"/>
        <c:crossBetween val="midCat"/>
        <c:majorUnit val="1"/>
      </c:valAx>
      <c:valAx>
        <c:axId val="-17467054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(Cuerpo)"/>
                    <a:ea typeface="+mn-ea"/>
                    <a:cs typeface="+mn-cs"/>
                  </a:defRPr>
                </a:pPr>
                <a:r>
                  <a:rPr lang="es-CO" baseline="0"/>
                  <a:t>Consumo de agua [m^3/mes]</a:t>
                </a:r>
                <a:endParaRPr lang="es-CO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(Cuerpo)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 (Cuerpo)"/>
                <a:ea typeface="+mn-ea"/>
                <a:cs typeface="+mn-cs"/>
              </a:defRPr>
            </a:pPr>
            <a:endParaRPr lang="es-CO"/>
          </a:p>
        </c:txPr>
        <c:crossAx val="-1746703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73860696519947588"/>
          <c:y val="5.7627860734400394E-3"/>
          <c:w val="0.2349477340022946"/>
          <c:h val="0.218017042040937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Arial (Cuerpo)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Arial (Cuerpo)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latin typeface="Arial" panose="020B0604020202020204" pitchFamily="34" charset="0"/>
                <a:cs typeface="Arial" panose="020B0604020202020204" pitchFamily="34" charset="0"/>
              </a:rPr>
              <a:t>Consumo de gas - Gráfico de Control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2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'Gráficos de control'!$BD$4:$BD$15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control'!$BG$4:$BG$15</c:f>
              <c:numCache>
                <c:formatCode>0</c:formatCode>
                <c:ptCount val="12"/>
                <c:pt idx="0">
                  <c:v>662.93194478119517</c:v>
                </c:pt>
                <c:pt idx="1">
                  <c:v>662.93194478119517</c:v>
                </c:pt>
                <c:pt idx="2">
                  <c:v>662.93194478119517</c:v>
                </c:pt>
                <c:pt idx="3">
                  <c:v>662.93194478119517</c:v>
                </c:pt>
                <c:pt idx="4">
                  <c:v>662.93194478119517</c:v>
                </c:pt>
                <c:pt idx="5">
                  <c:v>662.93194478119517</c:v>
                </c:pt>
                <c:pt idx="6">
                  <c:v>662.93194478119517</c:v>
                </c:pt>
                <c:pt idx="7">
                  <c:v>662.93194478119517</c:v>
                </c:pt>
                <c:pt idx="8">
                  <c:v>662.93194478119517</c:v>
                </c:pt>
                <c:pt idx="9">
                  <c:v>662.93194478119517</c:v>
                </c:pt>
                <c:pt idx="10">
                  <c:v>662.93194478119517</c:v>
                </c:pt>
                <c:pt idx="11">
                  <c:v>662.93194478119517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41B7-4C97-AD81-B793FC3D445F}"/>
            </c:ext>
          </c:extLst>
        </c:ser>
        <c:ser>
          <c:idx val="4"/>
          <c:order val="4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'Gráficos de control'!$BD$4:$BD$15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control'!$BI$4:$BI$15</c:f>
              <c:numCache>
                <c:formatCode>0</c:formatCode>
                <c:ptCount val="12"/>
                <c:pt idx="0">
                  <c:v>518.09090909090912</c:v>
                </c:pt>
                <c:pt idx="1">
                  <c:v>518.09090909090912</c:v>
                </c:pt>
                <c:pt idx="2">
                  <c:v>518.09090909090912</c:v>
                </c:pt>
                <c:pt idx="3">
                  <c:v>518.09090909090912</c:v>
                </c:pt>
                <c:pt idx="4">
                  <c:v>518.09090909090912</c:v>
                </c:pt>
                <c:pt idx="5">
                  <c:v>518.09090909090912</c:v>
                </c:pt>
                <c:pt idx="6">
                  <c:v>518.09090909090912</c:v>
                </c:pt>
                <c:pt idx="7">
                  <c:v>518.09090909090912</c:v>
                </c:pt>
                <c:pt idx="8">
                  <c:v>518.09090909090912</c:v>
                </c:pt>
                <c:pt idx="9">
                  <c:v>518.09090909090912</c:v>
                </c:pt>
                <c:pt idx="10">
                  <c:v>518.09090909090912</c:v>
                </c:pt>
                <c:pt idx="11">
                  <c:v>518.09090909090912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41B7-4C97-AD81-B793FC3D445F}"/>
            </c:ext>
          </c:extLst>
        </c:ser>
        <c:ser>
          <c:idx val="5"/>
          <c:order val="5"/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'Gráficos de control'!$BD$4:$BD$15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control'!$BJ$4:$BJ$15</c:f>
              <c:numCache>
                <c:formatCode>0</c:formatCode>
                <c:ptCount val="12"/>
                <c:pt idx="0">
                  <c:v>421.53021863071842</c:v>
                </c:pt>
                <c:pt idx="1">
                  <c:v>421.53021863071842</c:v>
                </c:pt>
                <c:pt idx="2">
                  <c:v>421.53021863071842</c:v>
                </c:pt>
                <c:pt idx="3">
                  <c:v>421.53021863071842</c:v>
                </c:pt>
                <c:pt idx="4">
                  <c:v>421.53021863071842</c:v>
                </c:pt>
                <c:pt idx="5">
                  <c:v>421.53021863071842</c:v>
                </c:pt>
                <c:pt idx="6">
                  <c:v>421.53021863071842</c:v>
                </c:pt>
                <c:pt idx="7">
                  <c:v>421.53021863071842</c:v>
                </c:pt>
                <c:pt idx="8">
                  <c:v>421.53021863071842</c:v>
                </c:pt>
                <c:pt idx="9">
                  <c:v>421.53021863071842</c:v>
                </c:pt>
                <c:pt idx="10">
                  <c:v>421.53021863071842</c:v>
                </c:pt>
                <c:pt idx="11">
                  <c:v>421.53021863071842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41B7-4C97-AD81-B793FC3D445F}"/>
            </c:ext>
          </c:extLst>
        </c:ser>
        <c:ser>
          <c:idx val="6"/>
          <c:order val="6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'Gráficos de control'!$BD$4:$BD$15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control'!$BK$4:$BK$15</c:f>
              <c:numCache>
                <c:formatCode>0</c:formatCode>
                <c:ptCount val="12"/>
                <c:pt idx="0">
                  <c:v>373.24987340062307</c:v>
                </c:pt>
                <c:pt idx="1">
                  <c:v>373.24987340062307</c:v>
                </c:pt>
                <c:pt idx="2">
                  <c:v>373.24987340062307</c:v>
                </c:pt>
                <c:pt idx="3">
                  <c:v>373.24987340062307</c:v>
                </c:pt>
                <c:pt idx="4">
                  <c:v>373.24987340062307</c:v>
                </c:pt>
                <c:pt idx="5">
                  <c:v>373.24987340062307</c:v>
                </c:pt>
                <c:pt idx="6">
                  <c:v>373.24987340062307</c:v>
                </c:pt>
                <c:pt idx="7">
                  <c:v>373.24987340062307</c:v>
                </c:pt>
                <c:pt idx="8">
                  <c:v>373.24987340062307</c:v>
                </c:pt>
                <c:pt idx="9">
                  <c:v>373.24987340062307</c:v>
                </c:pt>
                <c:pt idx="10">
                  <c:v>373.24987340062307</c:v>
                </c:pt>
                <c:pt idx="11">
                  <c:v>373.24987340062307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41B7-4C97-AD81-B793FC3D4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46709824"/>
        <c:axId val="-1746704928"/>
      </c:scatterChar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2">
                  <a:lumMod val="50000"/>
                  <a:lumOff val="5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50000"/>
                  <a:lumOff val="50000"/>
                </a:schemeClr>
              </a:solidFill>
              <a:ln w="9525">
                <a:solidFill>
                  <a:schemeClr val="tx2">
                    <a:lumMod val="50000"/>
                    <a:lumOff val="50000"/>
                  </a:schemeClr>
                </a:solidFill>
                <a:prstDash val="solid"/>
              </a:ln>
              <a:effectLst/>
            </c:spPr>
          </c:marker>
          <c:xVal>
            <c:numRef>
              <c:f>'Gráficos de control'!$BD$4:$BD$15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control'!$BE$4:$BE$15</c:f>
              <c:numCache>
                <c:formatCode>General</c:formatCode>
                <c:ptCount val="12"/>
                <c:pt idx="0">
                  <c:v>902</c:v>
                </c:pt>
                <c:pt idx="1">
                  <c:v>522</c:v>
                </c:pt>
                <c:pt idx="2">
                  <c:v>544</c:v>
                </c:pt>
                <c:pt idx="3">
                  <c:v>611</c:v>
                </c:pt>
                <c:pt idx="4">
                  <c:v>482</c:v>
                </c:pt>
                <c:pt idx="5">
                  <c:v>544</c:v>
                </c:pt>
                <c:pt idx="6">
                  <c:v>497</c:v>
                </c:pt>
                <c:pt idx="7">
                  <c:v>467</c:v>
                </c:pt>
                <c:pt idx="8">
                  <c:v>526</c:v>
                </c:pt>
                <c:pt idx="9">
                  <c:v>583</c:v>
                </c:pt>
                <c:pt idx="10">
                  <c:v>479</c:v>
                </c:pt>
                <c:pt idx="11">
                  <c:v>444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1B7-4C97-AD81-B793FC3D445F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olid"/>
              </a:ln>
              <a:effectLst/>
            </c:spPr>
          </c:marker>
          <c:xVal>
            <c:numRef>
              <c:f>'Gráficos de control'!$BH$16:$BH$21</c:f>
              <c:numCache>
                <c:formatCode>0</c:formatCode>
                <c:ptCount val="6"/>
                <c:pt idx="0">
                  <c:v>614.65159955109982</c:v>
                </c:pt>
                <c:pt idx="1">
                  <c:v>614.65159955109982</c:v>
                </c:pt>
                <c:pt idx="2">
                  <c:v>614.65159955109982</c:v>
                </c:pt>
                <c:pt idx="3">
                  <c:v>614.65159955109982</c:v>
                </c:pt>
                <c:pt idx="4">
                  <c:v>614.65159955109982</c:v>
                </c:pt>
                <c:pt idx="5">
                  <c:v>614.65159955109982</c:v>
                </c:pt>
              </c:numCache>
            </c:numRef>
          </c:xVal>
          <c:yVal>
            <c:numRef>
              <c:f>'Gráficos de control'!$BI$16:$BI$21</c:f>
              <c:numCache>
                <c:formatCode>0</c:formatCode>
                <c:ptCount val="6"/>
                <c:pt idx="0">
                  <c:v>518.09090909090912</c:v>
                </c:pt>
                <c:pt idx="1">
                  <c:v>518.09090909090912</c:v>
                </c:pt>
                <c:pt idx="2">
                  <c:v>518.09090909090912</c:v>
                </c:pt>
                <c:pt idx="3">
                  <c:v>518.09090909090912</c:v>
                </c:pt>
                <c:pt idx="4">
                  <c:v>518.09090909090912</c:v>
                </c:pt>
                <c:pt idx="5">
                  <c:v>518.09090909090912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41B7-4C97-AD81-B793FC3D445F}"/>
            </c:ext>
          </c:extLst>
        </c:ser>
        <c:ser>
          <c:idx val="3"/>
          <c:order val="3"/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'Gráficos de control'!$BD$4:$BD$15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control'!$BH$4:$BH$15</c:f>
              <c:numCache>
                <c:formatCode>0</c:formatCode>
                <c:ptCount val="12"/>
                <c:pt idx="0">
                  <c:v>614.65159955109982</c:v>
                </c:pt>
                <c:pt idx="1">
                  <c:v>614.65159955109982</c:v>
                </c:pt>
                <c:pt idx="2">
                  <c:v>614.65159955109982</c:v>
                </c:pt>
                <c:pt idx="3">
                  <c:v>614.65159955109982</c:v>
                </c:pt>
                <c:pt idx="4">
                  <c:v>614.65159955109982</c:v>
                </c:pt>
                <c:pt idx="5">
                  <c:v>614.65159955109982</c:v>
                </c:pt>
                <c:pt idx="6">
                  <c:v>614.65159955109982</c:v>
                </c:pt>
                <c:pt idx="7">
                  <c:v>614.65159955109982</c:v>
                </c:pt>
                <c:pt idx="8">
                  <c:v>614.65159955109982</c:v>
                </c:pt>
                <c:pt idx="9">
                  <c:v>614.65159955109982</c:v>
                </c:pt>
                <c:pt idx="10">
                  <c:v>614.65159955109982</c:v>
                </c:pt>
                <c:pt idx="11">
                  <c:v>614.65159955109982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41B7-4C97-AD81-B793FC3D4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46709824"/>
        <c:axId val="-1746704928"/>
      </c:scatterChart>
      <c:valAx>
        <c:axId val="-1746709824"/>
        <c:scaling>
          <c:orientation val="minMax"/>
          <c:max val="12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>
                    <a:latin typeface="Arial" panose="020B0604020202020204" pitchFamily="34" charset="0"/>
                    <a:cs typeface="Arial" panose="020B0604020202020204" pitchFamily="34" charset="0"/>
                  </a:rPr>
                  <a:t>Mes del 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746704928"/>
        <c:crosses val="autoZero"/>
        <c:crossBetween val="midCat"/>
        <c:majorUnit val="1"/>
      </c:valAx>
      <c:valAx>
        <c:axId val="-17467049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>
                    <a:latin typeface="Arial" panose="020B0604020202020204" pitchFamily="34" charset="0"/>
                    <a:cs typeface="Arial" panose="020B0604020202020204" pitchFamily="34" charset="0"/>
                  </a:rPr>
                  <a:t>Consumo</a:t>
                </a:r>
                <a:r>
                  <a:rPr lang="es-CO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 gas natural</a:t>
                </a:r>
                <a:r>
                  <a:rPr lang="es-CO">
                    <a:latin typeface="Arial" panose="020B0604020202020204" pitchFamily="34" charset="0"/>
                    <a:cs typeface="Arial" panose="020B0604020202020204" pitchFamily="34" charset="0"/>
                  </a:rPr>
                  <a:t> [m^3</a:t>
                </a:r>
                <a:r>
                  <a:rPr lang="es-CO" baseline="0">
                    <a:latin typeface="Arial" panose="020B0604020202020204" pitchFamily="34" charset="0"/>
                    <a:cs typeface="Arial" panose="020B0604020202020204" pitchFamily="34" charset="0"/>
                  </a:rPr>
                  <a:t> gas</a:t>
                </a:r>
                <a:r>
                  <a:rPr lang="es-CO">
                    <a:latin typeface="Arial" panose="020B0604020202020204" pitchFamily="34" charset="0"/>
                    <a:cs typeface="Arial" panose="020B0604020202020204" pitchFamily="34" charset="0"/>
                  </a:rPr>
                  <a:t>/mes]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746709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latin typeface="Arial" panose="020B0604020202020204" pitchFamily="34" charset="0"/>
                <a:cs typeface="Arial" panose="020B0604020202020204" pitchFamily="34" charset="0"/>
              </a:rPr>
              <a:t>Tendencia del indice de consumo - Energía Eléctrica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/>
      <c:scatterChart>
        <c:scatterStyle val="smoothMarker"/>
        <c:varyColors val="0"/>
        <c:ser>
          <c:idx val="4"/>
          <c:order val="1"/>
          <c:tx>
            <c:v>Indicador base - Año 2022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'Gráficos de control'!$N$4:$N$15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control'!$AE$4:$AE$15</c:f>
              <c:numCache>
                <c:formatCode>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C17-4C17-ADE0-0AAB037ED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46708192"/>
        <c:axId val="-1746709280"/>
      </c:scatterChart>
      <c:scatterChart>
        <c:scatterStyle val="lineMarker"/>
        <c:varyColors val="0"/>
        <c:ser>
          <c:idx val="0"/>
          <c:order val="0"/>
          <c:tx>
            <c:v>Indicador real - Año 2022</c:v>
          </c:tx>
          <c:spPr>
            <a:ln w="12700" cap="rnd">
              <a:solidFill>
                <a:schemeClr val="tx2">
                  <a:lumMod val="50000"/>
                  <a:lumOff val="50000"/>
                </a:schemeClr>
              </a:solidFill>
              <a:prstDash val="solid"/>
              <a:round/>
            </a:ln>
            <a:effectLst/>
          </c:spPr>
          <c:marker>
            <c:symbol val="diamond"/>
            <c:size val="6"/>
            <c:spPr>
              <a:solidFill>
                <a:schemeClr val="tx2">
                  <a:lumMod val="50000"/>
                  <a:lumOff val="50000"/>
                </a:schemeClr>
              </a:solidFill>
              <a:ln w="9525">
                <a:solidFill>
                  <a:schemeClr val="tx2">
                    <a:lumMod val="50000"/>
                    <a:lumOff val="50000"/>
                  </a:schemeClr>
                </a:solidFill>
                <a:prstDash val="solid"/>
              </a:ln>
              <a:effectLst/>
            </c:spPr>
          </c:marker>
          <c:xVal>
            <c:numRef>
              <c:f>'Gráficos de control'!$N$4:$N$15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control'!$AD$4:$AD$15</c:f>
              <c:numCache>
                <c:formatCode>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C17-4C17-ADE0-0AAB037ED7C4}"/>
            </c:ext>
          </c:extLst>
        </c:ser>
        <c:ser>
          <c:idx val="7"/>
          <c:order val="2"/>
          <c:tx>
            <c:v>Indicador base - Clima frío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'Gráficos de control'!$N$4:$N$15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control'!$AF$4:$AF$15</c:f>
              <c:numCache>
                <c:formatCode>0.00</c:formatCode>
                <c:ptCount val="12"/>
                <c:pt idx="0">
                  <c:v>81.2</c:v>
                </c:pt>
                <c:pt idx="1">
                  <c:v>81.2</c:v>
                </c:pt>
                <c:pt idx="2">
                  <c:v>81.2</c:v>
                </c:pt>
                <c:pt idx="3">
                  <c:v>81.2</c:v>
                </c:pt>
                <c:pt idx="4">
                  <c:v>81.2</c:v>
                </c:pt>
                <c:pt idx="5">
                  <c:v>81.2</c:v>
                </c:pt>
                <c:pt idx="6">
                  <c:v>81.2</c:v>
                </c:pt>
                <c:pt idx="7">
                  <c:v>81.2</c:v>
                </c:pt>
                <c:pt idx="8">
                  <c:v>81.2</c:v>
                </c:pt>
                <c:pt idx="9">
                  <c:v>81.2</c:v>
                </c:pt>
                <c:pt idx="10">
                  <c:v>81.2</c:v>
                </c:pt>
                <c:pt idx="11">
                  <c:v>81.2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434-4DED-A630-17493B193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46708192"/>
        <c:axId val="-1746709280"/>
      </c:scatterChart>
      <c:valAx>
        <c:axId val="-1746708192"/>
        <c:scaling>
          <c:orientation val="minMax"/>
          <c:max val="12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>
                    <a:latin typeface="Arial" panose="020B0604020202020204" pitchFamily="34" charset="0"/>
                    <a:cs typeface="Arial" panose="020B0604020202020204" pitchFamily="34" charset="0"/>
                  </a:rPr>
                  <a:t>Mes del 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-1746709280"/>
        <c:crosses val="autoZero"/>
        <c:crossBetween val="midCat"/>
        <c:majorUnit val="1"/>
      </c:valAx>
      <c:valAx>
        <c:axId val="-17467092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>
                    <a:latin typeface="Arial" panose="020B0604020202020204" pitchFamily="34" charset="0"/>
                    <a:cs typeface="Arial" panose="020B0604020202020204" pitchFamily="34" charset="0"/>
                  </a:rPr>
                  <a:t>Consumo</a:t>
                </a:r>
                <a:r>
                  <a:rPr lang="es-CO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 energía por area</a:t>
                </a:r>
                <a:r>
                  <a:rPr lang="es-CO">
                    <a:latin typeface="Arial" panose="020B0604020202020204" pitchFamily="34" charset="0"/>
                    <a:cs typeface="Arial" panose="020B0604020202020204" pitchFamily="34" charset="0"/>
                  </a:rPr>
                  <a:t>[kWh/año/mÞ^2]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746708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latin typeface="Arial" panose="020B0604020202020204" pitchFamily="34" charset="0"/>
                <a:cs typeface="Arial" panose="020B0604020202020204" pitchFamily="34" charset="0"/>
              </a:rPr>
              <a:t>Tendencia del indice de consumo - Agua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/>
      <c:scatterChart>
        <c:scatterStyle val="smoothMarker"/>
        <c:varyColors val="0"/>
        <c:ser>
          <c:idx val="4"/>
          <c:order val="1"/>
          <c:tx>
            <c:v>Indicador base - Año 2022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'Gráficos de control'!$AJ$4:$AJ$15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control'!$AY$4:$AY$15</c:f>
              <c:numCache>
                <c:formatCode>_-* #,##0\ _€_-;\-* #,##0\ _€_-;_-* "-"??\ _€_-;_-@_-</c:formatCode>
                <c:ptCount val="12"/>
                <c:pt idx="1">
                  <c:v>36.371043771043773</c:v>
                </c:pt>
                <c:pt idx="2">
                  <c:v>36.371043771043773</c:v>
                </c:pt>
                <c:pt idx="3">
                  <c:v>36.371043771043773</c:v>
                </c:pt>
                <c:pt idx="4">
                  <c:v>36.371043771043773</c:v>
                </c:pt>
                <c:pt idx="5">
                  <c:v>36.371043771043773</c:v>
                </c:pt>
                <c:pt idx="6">
                  <c:v>36.371043771043773</c:v>
                </c:pt>
                <c:pt idx="7">
                  <c:v>36.371043771043773</c:v>
                </c:pt>
                <c:pt idx="8">
                  <c:v>36.371043771043773</c:v>
                </c:pt>
                <c:pt idx="9">
                  <c:v>36.371043771043773</c:v>
                </c:pt>
                <c:pt idx="10">
                  <c:v>36.371043771043773</c:v>
                </c:pt>
                <c:pt idx="11">
                  <c:v>36.371043771043773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89FC-460C-8F22-DCD14F88C3C0}"/>
            </c:ext>
          </c:extLst>
        </c:ser>
        <c:ser>
          <c:idx val="5"/>
          <c:order val="2"/>
          <c:tx>
            <c:v>Indicador base - Clima frío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'Gráficos de control'!$AJ$4:$AJ$15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control'!$AZ$4:$AZ$15</c:f>
              <c:numCache>
                <c:formatCode>_-* #,##0\ _€_-;\-* #,##0\ _€_-;_-* "-"??\ _€_-;_-@_-</c:formatCode>
                <c:ptCount val="12"/>
                <c:pt idx="1">
                  <c:v>45</c:v>
                </c:pt>
                <c:pt idx="2">
                  <c:v>45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45</c:v>
                </c:pt>
                <c:pt idx="7">
                  <c:v>45</c:v>
                </c:pt>
                <c:pt idx="8">
                  <c:v>45</c:v>
                </c:pt>
                <c:pt idx="9">
                  <c:v>45</c:v>
                </c:pt>
                <c:pt idx="10">
                  <c:v>45</c:v>
                </c:pt>
                <c:pt idx="11">
                  <c:v>45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89FC-460C-8F22-DCD14F88C3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46707648"/>
        <c:axId val="-1746708736"/>
      </c:scatterChart>
      <c:scatterChart>
        <c:scatterStyle val="lineMarker"/>
        <c:varyColors val="0"/>
        <c:ser>
          <c:idx val="0"/>
          <c:order val="0"/>
          <c:tx>
            <c:v>indicador real - Año 2022</c:v>
          </c:tx>
          <c:spPr>
            <a:ln w="19050" cap="rnd">
              <a:solidFill>
                <a:schemeClr val="tx2">
                  <a:lumMod val="50000"/>
                  <a:lumOff val="5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50000"/>
                  <a:lumOff val="50000"/>
                </a:schemeClr>
              </a:solidFill>
              <a:ln w="9525">
                <a:solidFill>
                  <a:schemeClr val="tx2">
                    <a:lumMod val="50000"/>
                    <a:lumOff val="50000"/>
                  </a:schemeClr>
                </a:solidFill>
                <a:prstDash val="solid"/>
              </a:ln>
              <a:effectLst/>
            </c:spPr>
          </c:marker>
          <c:xVal>
            <c:numRef>
              <c:f>'Gráficos de control'!$AJ$4:$AJ$15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'Gráficos de control'!$AX$4:$AX$15</c:f>
              <c:numCache>
                <c:formatCode>_-* #,##0\ _€_-;\-* #,##0\ _€_-;_-* "-"??\ _€_-;_-@_-</c:formatCode>
                <c:ptCount val="12"/>
                <c:pt idx="1">
                  <c:v>43.303703703703704</c:v>
                </c:pt>
                <c:pt idx="2">
                  <c:v>50.573333333333331</c:v>
                </c:pt>
                <c:pt idx="3">
                  <c:v>33.76</c:v>
                </c:pt>
                <c:pt idx="4">
                  <c:v>32.111111111111107</c:v>
                </c:pt>
                <c:pt idx="5">
                  <c:v>32.911111111111111</c:v>
                </c:pt>
                <c:pt idx="6">
                  <c:v>33.68888888888889</c:v>
                </c:pt>
                <c:pt idx="7">
                  <c:v>31.755555555555556</c:v>
                </c:pt>
                <c:pt idx="8">
                  <c:v>35.93333333333333</c:v>
                </c:pt>
                <c:pt idx="9">
                  <c:v>36.288888888888891</c:v>
                </c:pt>
                <c:pt idx="10">
                  <c:v>35.422222222222224</c:v>
                </c:pt>
                <c:pt idx="11">
                  <c:v>34.333333333333336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89FC-460C-8F22-DCD14F88C3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46707648"/>
        <c:axId val="-1746708736"/>
      </c:scatterChart>
      <c:valAx>
        <c:axId val="-1746707648"/>
        <c:scaling>
          <c:orientation val="minMax"/>
          <c:max val="12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>
                    <a:latin typeface="Arial" panose="020B0604020202020204" pitchFamily="34" charset="0"/>
                    <a:cs typeface="Arial" panose="020B0604020202020204" pitchFamily="34" charset="0"/>
                  </a:rPr>
                  <a:t>Mes del 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746708736"/>
        <c:crosses val="autoZero"/>
        <c:crossBetween val="midCat"/>
        <c:majorUnit val="1"/>
      </c:valAx>
      <c:valAx>
        <c:axId val="-1746708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>
                    <a:latin typeface="Arial" panose="020B0604020202020204" pitchFamily="34" charset="0"/>
                    <a:cs typeface="Arial" panose="020B0604020202020204" pitchFamily="34" charset="0"/>
                  </a:rPr>
                  <a:t>Indice</a:t>
                </a:r>
                <a:r>
                  <a:rPr lang="es-CO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 c</a:t>
                </a:r>
                <a:r>
                  <a:rPr lang="es-CO">
                    <a:latin typeface="Arial" panose="020B0604020202020204" pitchFamily="34" charset="0"/>
                    <a:cs typeface="Arial" panose="020B0604020202020204" pitchFamily="34" charset="0"/>
                  </a:rPr>
                  <a:t>onsumo</a:t>
                </a:r>
                <a:r>
                  <a:rPr lang="es-CO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 agua</a:t>
                </a:r>
                <a:r>
                  <a:rPr lang="es-CO">
                    <a:latin typeface="Arial" panose="020B0604020202020204" pitchFamily="34" charset="0"/>
                    <a:cs typeface="Arial" panose="020B0604020202020204" pitchFamily="34" charset="0"/>
                  </a:rPr>
                  <a:t> [l/pers/día]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746707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0693855540957133"/>
          <c:y val="0.55502118761575137"/>
          <c:w val="0.34140225208078656"/>
          <c:h val="0.248704470641243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Arial (Cuerpo)"/>
                <a:ea typeface="+mn-ea"/>
                <a:cs typeface="+mn-cs"/>
              </a:defRPr>
            </a:pPr>
            <a:r>
              <a:rPr lang="es-CO" b="1">
                <a:solidFill>
                  <a:sysClr val="windowText" lastClr="000000"/>
                </a:solidFill>
              </a:rPr>
              <a:t>Pareto</a:t>
            </a:r>
            <a:r>
              <a:rPr lang="es-CO" b="1" baseline="0">
                <a:solidFill>
                  <a:sysClr val="windowText" lastClr="000000"/>
                </a:solidFill>
              </a:rPr>
              <a:t> de uso de energía por Censo de Cargas - Secretaría de salud</a:t>
            </a:r>
            <a:endParaRPr lang="es-CO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Arial (Cuerpo)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9.3685178078854223E-2"/>
          <c:y val="0.12175542622226483"/>
          <c:w val="0.80004596431835884"/>
          <c:h val="0.5366868040150669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(Cuerpo)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Electricidad!$C$56:$C$63</c:f>
              <c:strCache>
                <c:ptCount val="8"/>
                <c:pt idx="0">
                  <c:v>Ofimáticos</c:v>
                </c:pt>
                <c:pt idx="1">
                  <c:v>Iluminación</c:v>
                </c:pt>
                <c:pt idx="2">
                  <c:v>Ascensores</c:v>
                </c:pt>
                <c:pt idx="3">
                  <c:v>Electrodomésticos</c:v>
                </c:pt>
                <c:pt idx="4">
                  <c:v>Refrigeración</c:v>
                </c:pt>
                <c:pt idx="5">
                  <c:v>HVAC</c:v>
                </c:pt>
                <c:pt idx="6">
                  <c:v>Bombeo</c:v>
                </c:pt>
                <c:pt idx="7">
                  <c:v>Otros (equipos de laboratorio de baja intensidad)</c:v>
                </c:pt>
              </c:strCache>
            </c:strRef>
          </c:cat>
          <c:val>
            <c:numRef>
              <c:f>Electricidad!$D$56:$D$63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B41-41A9-98E8-A27315D10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71842816"/>
        <c:axId val="-971845536"/>
      </c:barChart>
      <c:scatterChart>
        <c:scatterStyle val="lineMarker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2"/>
              <c:layout>
                <c:manualLayout>
                  <c:x val="-3.4533841672645081E-2"/>
                  <c:y val="-6.11897701420606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B41-41A9-98E8-A27315D10339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(Cuerpo)"/>
                    <a:ea typeface="+mn-ea"/>
                    <a:cs typeface="+mn-cs"/>
                  </a:defRPr>
                </a:pPr>
                <a:endParaRPr lang="es-C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Electricidad!$C$56:$C$63</c:f>
              <c:strCache>
                <c:ptCount val="8"/>
                <c:pt idx="0">
                  <c:v>Ofimáticos</c:v>
                </c:pt>
                <c:pt idx="1">
                  <c:v>Iluminación</c:v>
                </c:pt>
                <c:pt idx="2">
                  <c:v>Ascensores</c:v>
                </c:pt>
                <c:pt idx="3">
                  <c:v>Electrodomésticos</c:v>
                </c:pt>
                <c:pt idx="4">
                  <c:v>Refrigeración</c:v>
                </c:pt>
                <c:pt idx="5">
                  <c:v>HVAC</c:v>
                </c:pt>
                <c:pt idx="6">
                  <c:v>Bombeo</c:v>
                </c:pt>
                <c:pt idx="7">
                  <c:v>Otros (equipos de laboratorio de baja intensidad)</c:v>
                </c:pt>
              </c:strCache>
            </c:strRef>
          </c:xVal>
          <c:yVal>
            <c:numRef>
              <c:f>Electricidad!$E$56:$E$63</c:f>
              <c:numCache>
                <c:formatCode>0.00%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B41-41A9-98E8-A27315D10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1844448"/>
        <c:axId val="-971844992"/>
      </c:scatterChart>
      <c:catAx>
        <c:axId val="-971842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 (Cuerpo)"/>
                <a:ea typeface="+mn-ea"/>
                <a:cs typeface="+mn-cs"/>
              </a:defRPr>
            </a:pPr>
            <a:endParaRPr lang="es-CO"/>
          </a:p>
        </c:txPr>
        <c:crossAx val="-971845536"/>
        <c:crosses val="autoZero"/>
        <c:auto val="1"/>
        <c:lblAlgn val="ctr"/>
        <c:lblOffset val="100"/>
        <c:noMultiLvlLbl val="0"/>
      </c:catAx>
      <c:valAx>
        <c:axId val="-9718455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(Cuerpo)"/>
                    <a:ea typeface="+mn-ea"/>
                    <a:cs typeface="+mn-cs"/>
                  </a:defRPr>
                </a:pPr>
                <a:r>
                  <a:rPr lang="es-CO" baseline="0"/>
                  <a:t>Uso de energía [kWh/mes]</a:t>
                </a:r>
                <a:endParaRPr lang="es-CO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(Cuerpo)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 (Cuerpo)"/>
                <a:ea typeface="+mn-ea"/>
                <a:cs typeface="+mn-cs"/>
              </a:defRPr>
            </a:pPr>
            <a:endParaRPr lang="es-CO"/>
          </a:p>
        </c:txPr>
        <c:crossAx val="-971842816"/>
        <c:crosses val="autoZero"/>
        <c:crossBetween val="between"/>
      </c:valAx>
      <c:valAx>
        <c:axId val="-97184499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(Cuerpo)"/>
                    <a:ea typeface="+mn-ea"/>
                    <a:cs typeface="+mn-cs"/>
                  </a:defRPr>
                </a:pPr>
                <a:r>
                  <a:rPr lang="es-CO"/>
                  <a:t>Porcentaje</a:t>
                </a:r>
                <a:r>
                  <a:rPr lang="es-CO" baseline="0"/>
                  <a:t> acumulado [%]</a:t>
                </a:r>
                <a:endParaRPr lang="es-CO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(Cuerpo)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 (Cuerpo)"/>
                <a:ea typeface="+mn-ea"/>
                <a:cs typeface="+mn-cs"/>
              </a:defRPr>
            </a:pPr>
            <a:endParaRPr lang="es-CO"/>
          </a:p>
        </c:txPr>
        <c:crossAx val="-971844448"/>
        <c:crosses val="max"/>
        <c:crossBetween val="midCat"/>
      </c:valAx>
      <c:valAx>
        <c:axId val="-9718444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971844992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Arial (Cuerpo)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Consumo eléctrico 2022 - 2023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1"/>
        <c:ser>
          <c:idx val="3"/>
          <c:order val="0"/>
          <c:tx>
            <c:v>2020</c:v>
          </c:tx>
          <c:spPr>
            <a:ln cmpd="sng">
              <a:solidFill>
                <a:srgbClr val="4F81BD"/>
              </a:solidFill>
            </a:ln>
          </c:spPr>
          <c:yVal>
            <c:numLit>
              <c:formatCode>General</c:formatCode>
              <c:ptCount val="12"/>
            </c:numLit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A8B-4851-90DA-7A09BDF1AB05}"/>
            </c:ext>
          </c:extLst>
        </c:ser>
        <c:ser>
          <c:idx val="4"/>
          <c:order val="1"/>
          <c:tx>
            <c:v>2021</c:v>
          </c:tx>
          <c:spPr>
            <a:ln cmpd="sng">
              <a:solidFill>
                <a:srgbClr val="C0504D"/>
              </a:solidFill>
            </a:ln>
          </c:spPr>
          <c:yVal>
            <c:numLit>
              <c:formatCode>General</c:formatCode>
              <c:ptCount val="12"/>
            </c:numLit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9A8B-4851-90DA-7A09BDF1AB05}"/>
            </c:ext>
          </c:extLst>
        </c:ser>
        <c:ser>
          <c:idx val="5"/>
          <c:order val="2"/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xVal>
            <c:strRef>
              <c:f>Electricidad!$A$4:$A$15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xVal>
          <c:yVal>
            <c:numRef>
              <c:f>Electricidad!$C$4:$C$15</c:f>
              <c:numCache>
                <c:formatCode>#,##0</c:formatCode>
                <c:ptCount val="12"/>
                <c:pt idx="0">
                  <c:v>272000</c:v>
                </c:pt>
                <c:pt idx="1">
                  <c:v>297000</c:v>
                </c:pt>
                <c:pt idx="2">
                  <c:v>265000</c:v>
                </c:pt>
                <c:pt idx="3">
                  <c:v>271000</c:v>
                </c:pt>
                <c:pt idx="4">
                  <c:v>269000</c:v>
                </c:pt>
                <c:pt idx="5">
                  <c:v>273000</c:v>
                </c:pt>
                <c:pt idx="6">
                  <c:v>283000</c:v>
                </c:pt>
                <c:pt idx="7">
                  <c:v>274000</c:v>
                </c:pt>
                <c:pt idx="8">
                  <c:v>288000</c:v>
                </c:pt>
                <c:pt idx="9">
                  <c:v>250000</c:v>
                </c:pt>
                <c:pt idx="10">
                  <c:v>275000</c:v>
                </c:pt>
                <c:pt idx="11">
                  <c:v>298000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9A8B-4851-90DA-7A09BDF1AB05}"/>
            </c:ext>
          </c:extLst>
        </c:ser>
        <c:ser>
          <c:idx val="0"/>
          <c:order val="3"/>
          <c:tx>
            <c:v>2020</c:v>
          </c:tx>
          <c:spPr>
            <a:ln cmpd="sng">
              <a:solidFill>
                <a:srgbClr val="4F81BD"/>
              </a:solidFill>
            </a:ln>
          </c:spPr>
          <c:yVal>
            <c:numLit>
              <c:formatCode>General</c:formatCode>
              <c:ptCount val="12"/>
            </c:numLit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9A8B-4851-90DA-7A09BDF1AB05}"/>
            </c:ext>
          </c:extLst>
        </c:ser>
        <c:ser>
          <c:idx val="1"/>
          <c:order val="4"/>
          <c:tx>
            <c:v>2021</c:v>
          </c:tx>
          <c:spPr>
            <a:ln cmpd="sng">
              <a:solidFill>
                <a:srgbClr val="C0504D"/>
              </a:solidFill>
            </a:ln>
          </c:spPr>
          <c:yVal>
            <c:numLit>
              <c:formatCode>General</c:formatCode>
              <c:ptCount val="12"/>
            </c:numLit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9A8B-4851-90DA-7A09BDF1AB05}"/>
            </c:ext>
          </c:extLst>
        </c:ser>
        <c:ser>
          <c:idx val="2"/>
          <c:order val="5"/>
          <c:spPr>
            <a:ln>
              <a:solidFill>
                <a:schemeClr val="accent6"/>
              </a:solidFill>
            </a:ln>
          </c:spPr>
          <c:marker>
            <c:spPr>
              <a:solidFill>
                <a:srgbClr val="FFC000"/>
              </a:solidFill>
              <a:ln>
                <a:solidFill>
                  <a:schemeClr val="accent6"/>
                </a:solidFill>
              </a:ln>
            </c:spPr>
          </c:marker>
          <c:xVal>
            <c:strRef>
              <c:f>Electricidad!$A$4:$A$15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xVal>
          <c:yVal>
            <c:numRef>
              <c:f>Electricidad!$D$4:$D$8</c:f>
              <c:numCache>
                <c:formatCode>#,##0</c:formatCode>
                <c:ptCount val="5"/>
                <c:pt idx="0">
                  <c:v>276000</c:v>
                </c:pt>
                <c:pt idx="1">
                  <c:v>290000</c:v>
                </c:pt>
                <c:pt idx="2">
                  <c:v>256000</c:v>
                </c:pt>
                <c:pt idx="3">
                  <c:v>253000</c:v>
                </c:pt>
                <c:pt idx="4">
                  <c:v>255000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9A8B-4851-90DA-7A09BDF1AB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1843904"/>
        <c:axId val="-1552887152"/>
      </c:scatterChart>
      <c:valAx>
        <c:axId val="-971843904"/>
        <c:scaling>
          <c:orientation val="minMax"/>
          <c:max val="12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es-CO"/>
              </a:p>
            </c:rich>
          </c:tx>
          <c:overlay val="0"/>
        </c:title>
        <c:numFmt formatCode="@" sourceLinked="0"/>
        <c:majorTickMark val="none"/>
        <c:minorTickMark val="none"/>
        <c:tickLblPos val="nextTo"/>
        <c:txPr>
          <a:bodyPr rot="-5400000"/>
          <a:lstStyle/>
          <a:p>
            <a:pPr>
              <a:defRPr/>
            </a:pPr>
            <a:endParaRPr lang="es-CO"/>
          </a:p>
        </c:txPr>
        <c:crossAx val="-1552887152"/>
        <c:crosses val="autoZero"/>
        <c:crossBetween val="midCat"/>
        <c:majorUnit val="1"/>
      </c:valAx>
      <c:valAx>
        <c:axId val="-1552887152"/>
        <c:scaling>
          <c:orientation val="minMax"/>
          <c:min val="15000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Energía</a:t>
                </a:r>
                <a:r>
                  <a:rPr lang="es-CO" baseline="0"/>
                  <a:t> Eléctrica [kWh/mes]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crossAx val="-971843904"/>
        <c:crosses val="autoZero"/>
        <c:crossBetween val="midCat"/>
      </c:valAx>
    </c:plotArea>
    <c:plotVisOnly val="1"/>
    <c:dispBlanksAs val="zero"/>
    <c:showDLblsOverMax val="1"/>
  </c:chart>
  <c:txPr>
    <a:bodyPr/>
    <a:lstStyle/>
    <a:p>
      <a:pPr>
        <a:defRPr sz="1000">
          <a:solidFill>
            <a:sysClr val="windowText" lastClr="000000"/>
          </a:solidFill>
          <a:latin typeface="Arial (Cuerpo)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869057165093649E-2"/>
          <c:y val="0.21311663915924411"/>
          <c:w val="0.46193064939810874"/>
          <c:h val="0.7253113175009702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bg1"/>
                      </a:solidFill>
                      <a:latin typeface="Barlow" panose="00000500000000000000" pitchFamily="2" charset="0"/>
                      <a:ea typeface="+mn-ea"/>
                      <a:cs typeface="Arial" panose="020B0604020202020204" pitchFamily="34" charset="0"/>
                    </a:defRPr>
                  </a:pPr>
                  <a:endParaRPr lang="es-CO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0520616755290658E-2"/>
                  <c:y val="-0.1664494116248392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bg1"/>
                      </a:solidFill>
                      <a:latin typeface="Barlow" panose="00000500000000000000" pitchFamily="2" charset="0"/>
                      <a:ea typeface="+mn-ea"/>
                      <a:cs typeface="Arial" panose="020B0604020202020204" pitchFamily="34" charset="0"/>
                    </a:defRPr>
                  </a:pPr>
                  <a:endParaRPr lang="es-CO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bg1"/>
                      </a:solidFill>
                      <a:latin typeface="Barlow" panose="00000500000000000000" pitchFamily="2" charset="0"/>
                      <a:ea typeface="+mn-ea"/>
                      <a:cs typeface="Arial" panose="020B0604020202020204" pitchFamily="34" charset="0"/>
                    </a:defRPr>
                  </a:pPr>
                  <a:endParaRPr lang="es-CO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Barlow" panose="00000500000000000000" pitchFamily="2" charset="0"/>
                    <a:ea typeface="+mn-ea"/>
                    <a:cs typeface="Arial" panose="020B0604020202020204" pitchFamily="34" charset="0"/>
                  </a:defRPr>
                </a:pPr>
                <a:endParaRPr lang="es-CO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Electricidad!$C$20:$C$27</c:f>
              <c:strCache>
                <c:ptCount val="8"/>
                <c:pt idx="0">
                  <c:v>Refrigeración</c:v>
                </c:pt>
                <c:pt idx="1">
                  <c:v>HVAC</c:v>
                </c:pt>
                <c:pt idx="2">
                  <c:v>Iluminación</c:v>
                </c:pt>
                <c:pt idx="3">
                  <c:v>Bombeo</c:v>
                </c:pt>
                <c:pt idx="4">
                  <c:v>Ofimáticos</c:v>
                </c:pt>
                <c:pt idx="5">
                  <c:v>Electrodomésticos</c:v>
                </c:pt>
                <c:pt idx="6">
                  <c:v>Ascensores</c:v>
                </c:pt>
                <c:pt idx="7">
                  <c:v>Otros (equipos de laboratorio de baja intensidad)</c:v>
                </c:pt>
              </c:strCache>
            </c:strRef>
          </c:cat>
          <c:val>
            <c:numRef>
              <c:f>Electricidad!$D$20:$D$27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8609616288628297"/>
          <c:y val="8.5193319090757599E-2"/>
          <c:w val="0.39699136893398373"/>
          <c:h val="0.853837001224272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85000"/>
                  <a:lumOff val="15000"/>
                </a:schemeClr>
              </a:solidFill>
              <a:latin typeface="Barlow" panose="00000500000000000000" pitchFamily="2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  <a:latin typeface="Barlow" panose="00000500000000000000" pitchFamily="2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Consumo eléctrico 2022 - 2023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926213017147173"/>
          <c:y val="0.13272952453148448"/>
          <c:w val="0.85171495586398016"/>
          <c:h val="0.52674073712243141"/>
        </c:manualLayout>
      </c:layout>
      <c:barChart>
        <c:barDir val="col"/>
        <c:grouping val="clustered"/>
        <c:varyColors val="1"/>
        <c:ser>
          <c:idx val="4"/>
          <c:order val="0"/>
          <c:tx>
            <c:strRef>
              <c:f>Electricidad!$B$3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Electricidad!$A$4:$A$15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Electricidad!$B$4:$B$15</c:f>
              <c:numCache>
                <c:formatCode>#,##0</c:formatCode>
                <c:ptCount val="12"/>
                <c:pt idx="0">
                  <c:v>253000</c:v>
                </c:pt>
                <c:pt idx="1">
                  <c:v>261000</c:v>
                </c:pt>
                <c:pt idx="2">
                  <c:v>208597</c:v>
                </c:pt>
                <c:pt idx="3">
                  <c:v>281672</c:v>
                </c:pt>
                <c:pt idx="4">
                  <c:v>275000</c:v>
                </c:pt>
                <c:pt idx="5">
                  <c:v>248000</c:v>
                </c:pt>
                <c:pt idx="6">
                  <c:v>293000</c:v>
                </c:pt>
                <c:pt idx="7">
                  <c:v>260000</c:v>
                </c:pt>
                <c:pt idx="8">
                  <c:v>276000</c:v>
                </c:pt>
                <c:pt idx="9">
                  <c:v>285000</c:v>
                </c:pt>
                <c:pt idx="10">
                  <c:v>283000</c:v>
                </c:pt>
                <c:pt idx="11">
                  <c:v>303000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A8B-4851-90DA-7A09BDF1AB05}"/>
            </c:ext>
          </c:extLst>
        </c:ser>
        <c:ser>
          <c:idx val="5"/>
          <c:order val="1"/>
          <c:tx>
            <c:strRef>
              <c:f>Electricidad!$C$3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Electricidad!$A$4:$A$15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Electricidad!$C$4:$C$15</c:f>
              <c:numCache>
                <c:formatCode>#,##0</c:formatCode>
                <c:ptCount val="12"/>
                <c:pt idx="0">
                  <c:v>272000</c:v>
                </c:pt>
                <c:pt idx="1">
                  <c:v>297000</c:v>
                </c:pt>
                <c:pt idx="2">
                  <c:v>265000</c:v>
                </c:pt>
                <c:pt idx="3">
                  <c:v>271000</c:v>
                </c:pt>
                <c:pt idx="4">
                  <c:v>269000</c:v>
                </c:pt>
                <c:pt idx="5">
                  <c:v>273000</c:v>
                </c:pt>
                <c:pt idx="6">
                  <c:v>283000</c:v>
                </c:pt>
                <c:pt idx="7">
                  <c:v>274000</c:v>
                </c:pt>
                <c:pt idx="8">
                  <c:v>288000</c:v>
                </c:pt>
                <c:pt idx="9">
                  <c:v>250000</c:v>
                </c:pt>
                <c:pt idx="10">
                  <c:v>275000</c:v>
                </c:pt>
                <c:pt idx="11">
                  <c:v>298000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A8B-4851-90DA-7A09BDF1AB05}"/>
            </c:ext>
          </c:extLst>
        </c:ser>
        <c:ser>
          <c:idx val="0"/>
          <c:order val="2"/>
          <c:tx>
            <c:strRef>
              <c:f>Electricidad!$D$3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Electricidad!$D$4:$D$8</c:f>
              <c:numCache>
                <c:formatCode>#,##0</c:formatCode>
                <c:ptCount val="5"/>
                <c:pt idx="0">
                  <c:v>276000</c:v>
                </c:pt>
                <c:pt idx="1">
                  <c:v>290000</c:v>
                </c:pt>
                <c:pt idx="2">
                  <c:v>256000</c:v>
                </c:pt>
                <c:pt idx="3">
                  <c:v>253000</c:v>
                </c:pt>
                <c:pt idx="4">
                  <c:v>255000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552882800"/>
        <c:axId val="-1552880624"/>
      </c:barChart>
      <c:catAx>
        <c:axId val="-1552882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5400000"/>
          <a:lstStyle/>
          <a:p>
            <a:pPr>
              <a:defRPr/>
            </a:pPr>
            <a:endParaRPr lang="es-CO"/>
          </a:p>
        </c:txPr>
        <c:crossAx val="-1552880624"/>
        <c:crosses val="autoZero"/>
        <c:auto val="1"/>
        <c:lblAlgn val="ctr"/>
        <c:lblOffset val="100"/>
        <c:noMultiLvlLbl val="0"/>
      </c:catAx>
      <c:valAx>
        <c:axId val="-1552880624"/>
        <c:scaling>
          <c:orientation val="minMax"/>
          <c:min val="1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O"/>
                  <a:t>consumo [kwh/mes]</a:t>
                </a:r>
              </a:p>
            </c:rich>
          </c:tx>
          <c:layout>
            <c:manualLayout>
              <c:xMode val="edge"/>
              <c:yMode val="edge"/>
              <c:x val="1.3834846519671422E-2"/>
              <c:y val="0.1716319717749888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-1552882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zero"/>
    <c:showDLblsOverMax val="1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  <a:latin typeface="Barlow" panose="00000500000000000000" pitchFamily="2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/>
              <a:t>Pareto de uso de energía por Censo de Cargas - SDS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[1]Electricidad!$D$20:$D$29</c:f>
              <c:strCache>
                <c:ptCount val="10"/>
                <c:pt idx="0">
                  <c:v>HVAC</c:v>
                </c:pt>
                <c:pt idx="1">
                  <c:v>Equipos para diagnóstico</c:v>
                </c:pt>
                <c:pt idx="2">
                  <c:v>Iluminación</c:v>
                </c:pt>
                <c:pt idx="3">
                  <c:v>Ofimáticos</c:v>
                </c:pt>
                <c:pt idx="4">
                  <c:v>Ascensores</c:v>
                </c:pt>
                <c:pt idx="5">
                  <c:v>Refrigeración</c:v>
                </c:pt>
                <c:pt idx="6">
                  <c:v>Bombeo</c:v>
                </c:pt>
                <c:pt idx="7">
                  <c:v>Electrodomésticos</c:v>
                </c:pt>
                <c:pt idx="8">
                  <c:v>Otros</c:v>
                </c:pt>
                <c:pt idx="9">
                  <c:v>Aire comprimido</c:v>
                </c:pt>
              </c:strCache>
            </c:strRef>
          </c:cat>
          <c:val>
            <c:numRef>
              <c:f>Electricidad!$D$56:$D$63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59D-46B5-9C24-05521BFEAC7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40"/>
        <c:axId val="-1552883344"/>
        <c:axId val="-1552886608"/>
      </c:barChart>
      <c:scatterChart>
        <c:scatterStyle val="smoothMarker"/>
        <c:varyColors val="0"/>
        <c:ser>
          <c:idx val="1"/>
          <c:order val="1"/>
          <c:tx>
            <c:strRef>
              <c:f>Electricidad!$E$55</c:f>
              <c:strCache>
                <c:ptCount val="1"/>
                <c:pt idx="0">
                  <c:v>% acumulado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Lbl>
              <c:idx val="2"/>
              <c:layout>
                <c:manualLayout>
                  <c:x val="-1.6893170383851406E-3"/>
                  <c:y val="-3.38777886191970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3786340767703433E-3"/>
                  <c:y val="-3.38777886191970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"/>
                  <c:y val="-2.2585192412798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"/>
                  <c:y val="-2.25851924127980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3.3786340767701572E-3"/>
                  <c:y val="-2.25851924127980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6893170383851405E-2"/>
                  <c:y val="-3.38777886191970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Electricidad!$C$56:$C$63</c:f>
              <c:strCache>
                <c:ptCount val="8"/>
                <c:pt idx="0">
                  <c:v>Ofimáticos</c:v>
                </c:pt>
                <c:pt idx="1">
                  <c:v>Iluminación</c:v>
                </c:pt>
                <c:pt idx="2">
                  <c:v>Ascensores</c:v>
                </c:pt>
                <c:pt idx="3">
                  <c:v>Electrodomésticos</c:v>
                </c:pt>
                <c:pt idx="4">
                  <c:v>Refrigeración</c:v>
                </c:pt>
                <c:pt idx="5">
                  <c:v>HVAC</c:v>
                </c:pt>
                <c:pt idx="6">
                  <c:v>Bombeo</c:v>
                </c:pt>
                <c:pt idx="7">
                  <c:v>Otros (equipos de laboratorio de baja intensidad)</c:v>
                </c:pt>
              </c:strCache>
            </c:strRef>
          </c:xVal>
          <c:yVal>
            <c:numRef>
              <c:f>Electricidad!$E$56:$E$63</c:f>
              <c:numCache>
                <c:formatCode>0.00%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359D-46B5-9C24-05521BFEAC7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-1552881712"/>
        <c:axId val="-1552886064"/>
      </c:scatterChart>
      <c:catAx>
        <c:axId val="-155288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-1552886608"/>
        <c:crosses val="autoZero"/>
        <c:auto val="1"/>
        <c:lblAlgn val="ctr"/>
        <c:lblOffset val="100"/>
        <c:noMultiLvlLbl val="0"/>
      </c:catAx>
      <c:valAx>
        <c:axId val="-155288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Uso de energía [kWh/mes]</a:t>
                </a:r>
              </a:p>
            </c:rich>
          </c:tx>
          <c:layout>
            <c:manualLayout>
              <c:xMode val="edge"/>
              <c:yMode val="edge"/>
              <c:x val="1.4558272958320033E-2"/>
              <c:y val="0.140372086152904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-1552883344"/>
        <c:crosses val="autoZero"/>
        <c:crossBetween val="between"/>
      </c:valAx>
      <c:valAx>
        <c:axId val="-155288606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Porcentaje acumulado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-1552881712"/>
        <c:crosses val="max"/>
        <c:crossBetween val="midCat"/>
      </c:valAx>
      <c:valAx>
        <c:axId val="-15528817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1552886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>
              <a:lumMod val="85000"/>
              <a:lumOff val="15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6980533683289587E-2"/>
                  <c:y val="0.323657407407407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Electricidad!$J$20:$J$36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</c:numCache>
            </c:numRef>
          </c:xVal>
          <c:yVal>
            <c:numRef>
              <c:f>Electricidad!$K$20:$K$36</c:f>
              <c:numCache>
                <c:formatCode>_("$"* #,##0.00_);_("$"* \(#,##0.00\);_("$"* "-"??_);_(@_)</c:formatCode>
                <c:ptCount val="17"/>
                <c:pt idx="0">
                  <c:v>490.25819999999999</c:v>
                </c:pt>
                <c:pt idx="1">
                  <c:v>500.0634</c:v>
                </c:pt>
                <c:pt idx="2">
                  <c:v>507.56439999999998</c:v>
                </c:pt>
                <c:pt idx="3">
                  <c:v>515.17790000000002</c:v>
                </c:pt>
                <c:pt idx="4">
                  <c:v>524.4511</c:v>
                </c:pt>
                <c:pt idx="5">
                  <c:v>533.89120000000003</c:v>
                </c:pt>
                <c:pt idx="6">
                  <c:v>543.50120000000004</c:v>
                </c:pt>
                <c:pt idx="7">
                  <c:v>554.37120000000004</c:v>
                </c:pt>
                <c:pt idx="8">
                  <c:v>565.45860000000005</c:v>
                </c:pt>
                <c:pt idx="9">
                  <c:v>576.76779999999997</c:v>
                </c:pt>
                <c:pt idx="10">
                  <c:v>580.22839999999997</c:v>
                </c:pt>
                <c:pt idx="11">
                  <c:v>580.22839999999997</c:v>
                </c:pt>
                <c:pt idx="12">
                  <c:v>580.22839999999997</c:v>
                </c:pt>
                <c:pt idx="13">
                  <c:v>586.61090000000002</c:v>
                </c:pt>
                <c:pt idx="14">
                  <c:v>595.99670000000003</c:v>
                </c:pt>
                <c:pt idx="15">
                  <c:v>608.51260000000002</c:v>
                </c:pt>
                <c:pt idx="16">
                  <c:v>620.68290000000002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52882256"/>
        <c:axId val="-1552887696"/>
      </c:scatterChart>
      <c:valAx>
        <c:axId val="-1552882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552887696"/>
        <c:crosses val="autoZero"/>
        <c:crossBetween val="midCat"/>
      </c:valAx>
      <c:valAx>
        <c:axId val="-1552887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552882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s-CO">
                <a:latin typeface="Arial" panose="020B0604020202020204" pitchFamily="34" charset="0"/>
                <a:cs typeface="Arial" panose="020B0604020202020204" pitchFamily="34" charset="0"/>
              </a:rPr>
              <a:t>Distribución de gas natural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1633456532219165E-2"/>
          <c:y val="0.24090935758771675"/>
          <c:w val="0.63945417537093574"/>
          <c:h val="0.657645366957176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4F81BD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4A5-407C-9D99-147561078AA0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4A5-407C-9D99-147561078AA0}"/>
              </c:ext>
            </c:extLst>
          </c:dPt>
          <c:dLbls>
            <c:dLbl>
              <c:idx val="4"/>
              <c:layout>
                <c:manualLayout>
                  <c:x val="0.1347074949374098"/>
                  <c:y val="-0.1966531506927797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84A5-407C-9D99-147561078AA0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0.11574351025363717"/>
                  <c:y val="-1.026877975297746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4A5-407C-9D99-147561078AA0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CO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'Gas natural'!$C$19:$C$20</c:f>
              <c:strCache>
                <c:ptCount val="2"/>
                <c:pt idx="0">
                  <c:v>Calderas</c:v>
                </c:pt>
                <c:pt idx="1">
                  <c:v>Cocina de cafeteria</c:v>
                </c:pt>
              </c:strCache>
            </c:strRef>
          </c:cat>
          <c:val>
            <c:numRef>
              <c:f>'Gas natural'!$D$19:$D$20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84A5-407C-9D99-147561078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77700509290643305"/>
          <c:y val="0.20570722808502037"/>
          <c:w val="0.18771155261221481"/>
          <c:h val="0.69284942455885778"/>
        </c:manualLayout>
      </c:layout>
      <c:overlay val="0"/>
      <c:txPr>
        <a:bodyPr/>
        <a:lstStyle/>
        <a:p>
          <a:pPr>
            <a:defRPr>
              <a:latin typeface="Arial" panose="020B0604020202020204" pitchFamily="34" charset="0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zero"/>
    <c:showDLblsOverMax val="1"/>
  </c:chart>
  <c:txPr>
    <a:bodyPr/>
    <a:lstStyle/>
    <a:p>
      <a:pPr>
        <a:defRPr sz="1000"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Arial (Cuerpo)"/>
                <a:ea typeface="+mn-ea"/>
                <a:cs typeface="+mn-cs"/>
              </a:defRPr>
            </a:pPr>
            <a:r>
              <a:rPr lang="es-CO" b="1">
                <a:solidFill>
                  <a:sysClr val="windowText" lastClr="000000"/>
                </a:solidFill>
              </a:rPr>
              <a:t>Pareto</a:t>
            </a:r>
            <a:r>
              <a:rPr lang="es-CO" b="1" baseline="0">
                <a:solidFill>
                  <a:sysClr val="windowText" lastClr="000000"/>
                </a:solidFill>
              </a:rPr>
              <a:t> de uso de energía por Censo de Cargas - Secretaría de salud</a:t>
            </a:r>
            <a:endParaRPr lang="es-CO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Arial (Cuerpo)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9.3685178078854223E-2"/>
          <c:y val="0.12175542622226483"/>
          <c:w val="0.80004596431835884"/>
          <c:h val="0.5366868040150669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(Cuerpo)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'Gas natural'!$C$49:$C$50</c:f>
              <c:strCache>
                <c:ptCount val="2"/>
                <c:pt idx="0">
                  <c:v>Cocina de cafeteria</c:v>
                </c:pt>
                <c:pt idx="1">
                  <c:v>Calderas</c:v>
                </c:pt>
              </c:strCache>
            </c:strRef>
          </c:cat>
          <c:val>
            <c:numRef>
              <c:f>'Gas natural'!$E$49:$E$50</c:f>
              <c:numCache>
                <c:formatCode>#,##0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EC0-4D70-AA65-20EE8059A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552881168"/>
        <c:axId val="-1552883888"/>
      </c:barChart>
      <c:scatterChart>
        <c:scatterStyle val="lineMarker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2"/>
              <c:layout>
                <c:manualLayout>
                  <c:x val="-3.4533841672645081E-2"/>
                  <c:y val="-6.11897701420606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EC0-4D70-AA65-20EE8059A95F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(Cuerpo)"/>
                    <a:ea typeface="+mn-ea"/>
                    <a:cs typeface="+mn-cs"/>
                  </a:defRPr>
                </a:pPr>
                <a:endParaRPr lang="es-C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'Gas natural'!$C$49:$C$50</c:f>
              <c:strCache>
                <c:ptCount val="2"/>
                <c:pt idx="0">
                  <c:v>Cocina de cafeteria</c:v>
                </c:pt>
                <c:pt idx="1">
                  <c:v>Calderas</c:v>
                </c:pt>
              </c:strCache>
            </c:strRef>
          </c:xVal>
          <c:yVal>
            <c:numRef>
              <c:f>'Gas natural'!$F$49:$F$50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EC0-4D70-AA65-20EE8059A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52884976"/>
        <c:axId val="-1552885520"/>
      </c:scatterChart>
      <c:catAx>
        <c:axId val="-1552881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 (Cuerpo)"/>
                <a:ea typeface="+mn-ea"/>
                <a:cs typeface="+mn-cs"/>
              </a:defRPr>
            </a:pPr>
            <a:endParaRPr lang="es-CO"/>
          </a:p>
        </c:txPr>
        <c:crossAx val="-1552883888"/>
        <c:crosses val="autoZero"/>
        <c:auto val="1"/>
        <c:lblAlgn val="ctr"/>
        <c:lblOffset val="100"/>
        <c:noMultiLvlLbl val="0"/>
      </c:catAx>
      <c:valAx>
        <c:axId val="-15528838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(Cuerpo)"/>
                    <a:ea typeface="+mn-ea"/>
                    <a:cs typeface="+mn-cs"/>
                  </a:defRPr>
                </a:pPr>
                <a:r>
                  <a:rPr lang="es-CO" baseline="0"/>
                  <a:t>Uso de energía [m3/mes]</a:t>
                </a:r>
                <a:endParaRPr lang="es-CO"/>
              </a:p>
            </c:rich>
          </c:tx>
          <c:layout>
            <c:manualLayout>
              <c:xMode val="edge"/>
              <c:yMode val="edge"/>
              <c:x val="2.3394372796930653E-2"/>
              <c:y val="0.211203800673303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(Cuerpo)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 (Cuerpo)"/>
                <a:ea typeface="+mn-ea"/>
                <a:cs typeface="+mn-cs"/>
              </a:defRPr>
            </a:pPr>
            <a:endParaRPr lang="es-CO"/>
          </a:p>
        </c:txPr>
        <c:crossAx val="-1552881168"/>
        <c:crosses val="autoZero"/>
        <c:crossBetween val="between"/>
      </c:valAx>
      <c:valAx>
        <c:axId val="-155288552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(Cuerpo)"/>
                    <a:ea typeface="+mn-ea"/>
                    <a:cs typeface="+mn-cs"/>
                  </a:defRPr>
                </a:pPr>
                <a:r>
                  <a:rPr lang="es-CO"/>
                  <a:t>Porcentaje</a:t>
                </a:r>
                <a:r>
                  <a:rPr lang="es-CO" baseline="0"/>
                  <a:t> acumulado [%]</a:t>
                </a:r>
                <a:endParaRPr lang="es-CO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(Cuerpo)"/>
                  <a:ea typeface="+mn-ea"/>
                  <a:cs typeface="+mn-cs"/>
                </a:defRPr>
              </a:pPr>
              <a:endParaRPr lang="es-CO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 (Cuerpo)"/>
                <a:ea typeface="+mn-ea"/>
                <a:cs typeface="+mn-cs"/>
              </a:defRPr>
            </a:pPr>
            <a:endParaRPr lang="es-CO"/>
          </a:p>
        </c:txPr>
        <c:crossAx val="-1552884976"/>
        <c:crosses val="max"/>
        <c:crossBetween val="midCat"/>
      </c:valAx>
      <c:valAx>
        <c:axId val="-15528849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552885520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Arial (Cuerpo)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304800</xdr:colOff>
      <xdr:row>29</xdr:row>
      <xdr:rowOff>114300</xdr:rowOff>
    </xdr:from>
    <xdr:ext cx="5243512" cy="3630519"/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xmlns="" id="{43678D5F-EEED-4FB2-8D04-AD8BD4D57D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twoCellAnchor>
    <xdr:from>
      <xdr:col>0</xdr:col>
      <xdr:colOff>369795</xdr:colOff>
      <xdr:row>66</xdr:row>
      <xdr:rowOff>44823</xdr:rowOff>
    </xdr:from>
    <xdr:to>
      <xdr:col>8</xdr:col>
      <xdr:colOff>1000313</xdr:colOff>
      <xdr:row>95</xdr:row>
      <xdr:rowOff>28201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9D80D33D-FF40-4D4D-9F5E-945E088986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6</xdr:col>
      <xdr:colOff>40388</xdr:colOff>
      <xdr:row>52</xdr:row>
      <xdr:rowOff>19377</xdr:rowOff>
    </xdr:from>
    <xdr:ext cx="7343775" cy="3234578"/>
    <xdr:graphicFrame macro="">
      <xdr:nvGraphicFramePr>
        <xdr:cNvPr id="4" name="Chart 5">
          <a:extLst>
            <a:ext uri="{FF2B5EF4-FFF2-40B4-BE49-F238E27FC236}">
              <a16:creationId xmlns:a16="http://schemas.microsoft.com/office/drawing/2014/main" xmlns="" id="{897FA649-7884-4CC9-B8F5-FC5BFB0059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twoCellAnchor>
    <xdr:from>
      <xdr:col>16</xdr:col>
      <xdr:colOff>566207</xdr:colOff>
      <xdr:row>24</xdr:row>
      <xdr:rowOff>21167</xdr:rowOff>
    </xdr:from>
    <xdr:to>
      <xdr:col>23</xdr:col>
      <xdr:colOff>509851</xdr:colOff>
      <xdr:row>40</xdr:row>
      <xdr:rowOff>109938</xdr:rowOff>
    </xdr:to>
    <xdr:graphicFrame macro="">
      <xdr:nvGraphicFramePr>
        <xdr:cNvPr id="5" name="5 Gráfico">
          <a:extLst>
            <a:ext uri="{FF2B5EF4-FFF2-40B4-BE49-F238E27FC236}">
              <a16:creationId xmlns="" xmlns:a16="http://schemas.microsoft.com/office/drawing/2014/main" id="{00000000-0008-0000-11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16</xdr:col>
      <xdr:colOff>571500</xdr:colOff>
      <xdr:row>1</xdr:row>
      <xdr:rowOff>277812</xdr:rowOff>
    </xdr:from>
    <xdr:ext cx="7343775" cy="3234578"/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897FA649-7884-4CC9-B8F5-FC5BFB0059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twoCellAnchor>
    <xdr:from>
      <xdr:col>16</xdr:col>
      <xdr:colOff>571500</xdr:colOff>
      <xdr:row>41</xdr:row>
      <xdr:rowOff>142875</xdr:rowOff>
    </xdr:from>
    <xdr:to>
      <xdr:col>26</xdr:col>
      <xdr:colOff>469331</xdr:colOff>
      <xdr:row>62</xdr:row>
      <xdr:rowOff>11567</xdr:rowOff>
    </xdr:to>
    <xdr:graphicFrame macro="">
      <xdr:nvGraphicFramePr>
        <xdr:cNvPr id="7" name="Gráfico 6">
          <a:extLst>
            <a:ext uri="{FF2B5EF4-FFF2-40B4-BE49-F238E27FC236}">
              <a16:creationId xmlns=""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178593</xdr:colOff>
      <xdr:row>7</xdr:row>
      <xdr:rowOff>27384</xdr:rowOff>
    </xdr:from>
    <xdr:to>
      <xdr:col>6</xdr:col>
      <xdr:colOff>1119187</xdr:colOff>
      <xdr:row>24</xdr:row>
      <xdr:rowOff>127396</xdr:rowOff>
    </xdr:to>
    <xdr:graphicFrame macro="">
      <xdr:nvGraphicFramePr>
        <xdr:cNvPr id="8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24</xdr:row>
      <xdr:rowOff>0</xdr:rowOff>
    </xdr:from>
    <xdr:ext cx="3733800" cy="3630519"/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xmlns="" id="{D3A3EC02-0F24-4EDD-8C20-1017F00AEE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twoCellAnchor>
    <xdr:from>
      <xdr:col>1</xdr:col>
      <xdr:colOff>0</xdr:colOff>
      <xdr:row>52</xdr:row>
      <xdr:rowOff>0</xdr:rowOff>
    </xdr:from>
    <xdr:to>
      <xdr:col>14</xdr:col>
      <xdr:colOff>1051275</xdr:colOff>
      <xdr:row>80</xdr:row>
      <xdr:rowOff>40942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84519E44-A100-4327-AB39-2FAEB29BAF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276128</xdr:colOff>
      <xdr:row>2</xdr:row>
      <xdr:rowOff>16356</xdr:rowOff>
    </xdr:from>
    <xdr:ext cx="5524500" cy="3514725"/>
    <xdr:graphicFrame macro="">
      <xdr:nvGraphicFramePr>
        <xdr:cNvPr id="3" name="Chart 11">
          <a:extLst>
            <a:ext uri="{FF2B5EF4-FFF2-40B4-BE49-F238E27FC236}">
              <a16:creationId xmlns:a16="http://schemas.microsoft.com/office/drawing/2014/main" xmlns="" id="{B8F93279-250C-4CC0-8931-1363D7F3BA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twoCellAnchor editAs="absolute">
    <xdr:from>
      <xdr:col>14</xdr:col>
      <xdr:colOff>629709</xdr:colOff>
      <xdr:row>21</xdr:row>
      <xdr:rowOff>29694</xdr:rowOff>
    </xdr:from>
    <xdr:to>
      <xdr:col>25</xdr:col>
      <xdr:colOff>107021</xdr:colOff>
      <xdr:row>38</xdr:row>
      <xdr:rowOff>77490</xdr:rowOff>
    </xdr:to>
    <xdr:graphicFrame macro="">
      <xdr:nvGraphicFramePr>
        <xdr:cNvPr id="8" name="Gráfico 3">
          <a:extLst>
            <a:ext uri="{FF2B5EF4-FFF2-40B4-BE49-F238E27FC236}">
              <a16:creationId xmlns:a16="http://schemas.microsoft.com/office/drawing/2014/main" xmlns="" id="{B85D0049-E34C-4724-B53B-D55FC13C610D}"/>
            </a:ext>
            <a:ext uri="{147F2762-F138-4A5C-976F-8EAC2B608ADB}">
              <a16:predDERef xmlns:a16="http://schemas.microsoft.com/office/drawing/2014/main" xmlns="" pred="{B8F93279-250C-4CC0-8931-1363D7F3BA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14</xdr:col>
      <xdr:colOff>547688</xdr:colOff>
      <xdr:row>44</xdr:row>
      <xdr:rowOff>11612</xdr:rowOff>
    </xdr:from>
    <xdr:to>
      <xdr:col>25</xdr:col>
      <xdr:colOff>3835</xdr:colOff>
      <xdr:row>62</xdr:row>
      <xdr:rowOff>10654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xmlns="" id="{CAA6493C-A43D-4FA1-9C9B-96ACA6C5FF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36</xdr:col>
      <xdr:colOff>438310</xdr:colOff>
      <xdr:row>22</xdr:row>
      <xdr:rowOff>91888</xdr:rowOff>
    </xdr:from>
    <xdr:to>
      <xdr:col>44</xdr:col>
      <xdr:colOff>56030</xdr:colOff>
      <xdr:row>42</xdr:row>
      <xdr:rowOff>82245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2541E3AF-DD82-4E23-B4A2-46FC07E4F1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33</xdr:col>
      <xdr:colOff>1484663</xdr:colOff>
      <xdr:row>44</xdr:row>
      <xdr:rowOff>2372</xdr:rowOff>
    </xdr:from>
    <xdr:to>
      <xdr:col>40</xdr:col>
      <xdr:colOff>273929</xdr:colOff>
      <xdr:row>62</xdr:row>
      <xdr:rowOff>124528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xmlns="" id="{93011226-49D9-4B99-BDB7-E13EA68F5E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56</xdr:col>
      <xdr:colOff>367347</xdr:colOff>
      <xdr:row>22</xdr:row>
      <xdr:rowOff>8964</xdr:rowOff>
    </xdr:from>
    <xdr:to>
      <xdr:col>66</xdr:col>
      <xdr:colOff>7743</xdr:colOff>
      <xdr:row>42</xdr:row>
      <xdr:rowOff>18993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xmlns="" id="{57B9754B-5258-45AE-9D40-E579E572FE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absolute">
    <xdr:from>
      <xdr:col>25</xdr:col>
      <xdr:colOff>593215</xdr:colOff>
      <xdr:row>21</xdr:row>
      <xdr:rowOff>6769</xdr:rowOff>
    </xdr:from>
    <xdr:to>
      <xdr:col>33</xdr:col>
      <xdr:colOff>1036016</xdr:colOff>
      <xdr:row>38</xdr:row>
      <xdr:rowOff>91760</xdr:rowOff>
    </xdr:to>
    <xdr:graphicFrame macro="">
      <xdr:nvGraphicFramePr>
        <xdr:cNvPr id="6" name="Gráfico 3">
          <a:extLst>
            <a:ext uri="{FF2B5EF4-FFF2-40B4-BE49-F238E27FC236}">
              <a16:creationId xmlns:a16="http://schemas.microsoft.com/office/drawing/2014/main" xmlns="" id="{74F61D56-52A6-B9A9-D5E5-82C1C32C467C}"/>
            </a:ext>
            <a:ext uri="{147F2762-F138-4A5C-976F-8EAC2B608ADB}">
              <a16:predDERef xmlns:a16="http://schemas.microsoft.com/office/drawing/2014/main" xmlns="" pred="{57B9754B-5258-45AE-9D40-E579E572FE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absolute">
    <xdr:from>
      <xdr:col>44</xdr:col>
      <xdr:colOff>257736</xdr:colOff>
      <xdr:row>22</xdr:row>
      <xdr:rowOff>67236</xdr:rowOff>
    </xdr:from>
    <xdr:to>
      <xdr:col>52</xdr:col>
      <xdr:colOff>390926</xdr:colOff>
      <xdr:row>42</xdr:row>
      <xdr:rowOff>57593</xdr:rowOff>
    </xdr:to>
    <xdr:graphicFrame macro="">
      <xdr:nvGraphicFramePr>
        <xdr:cNvPr id="11" name="Gráfico 1">
          <a:extLst>
            <a:ext uri="{FF2B5EF4-FFF2-40B4-BE49-F238E27FC236}">
              <a16:creationId xmlns:a16="http://schemas.microsoft.com/office/drawing/2014/main" xmlns="" id="{4F682483-CB63-4194-8353-B2059F3545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ristian%20Saavedra/OneDrive/Escritorio/Proyecto%20Edificaciones%20Bogota/TEMPLATES%20EDIFICIOS/Hospital%20Sim&#243;n%20Bol&#237;var/10.10.2023%20TEMPLATE%20WTA%20EE_HOSPITAL%20SIMON%20BOLIV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Ms"/>
      <sheetName val="Cooling"/>
      <sheetName val="Heating"/>
      <sheetName val="Lighting"/>
      <sheetName val="Water"/>
      <sheetName val="Enveloping"/>
      <sheetName val="output"/>
      <sheetName val="Working Units"/>
      <sheetName val="CHECKLIST"/>
      <sheetName val="Datos de Contacto"/>
      <sheetName val="Units"/>
      <sheetName val="Unidades de Trabajo"/>
      <sheetName val="Información general"/>
      <sheetName val="Listas desplegables"/>
      <sheetName val="Ocupación"/>
      <sheetName val="Censo de Cargas"/>
      <sheetName val="Electricidad"/>
      <sheetName val="ReporteElectricidad"/>
      <sheetName val="Gas natural"/>
      <sheetName val="Diesel"/>
      <sheetName val="GLP"/>
      <sheetName val="Consumo de agua"/>
      <sheetName val="Mantenimiento"/>
      <sheetName val="Precios_tarifas"/>
      <sheetName val="Gráfico de control"/>
      <sheetName val="Línea de base y meta"/>
      <sheetName val="Hoja2"/>
      <sheetName val="Listado de ECM"/>
      <sheetName val="ECM1"/>
      <sheetName val="ECM2"/>
      <sheetName val="ECM3"/>
      <sheetName val="ECM4"/>
      <sheetName val="ECM5"/>
      <sheetName val="ECM6"/>
      <sheetName val="ECM7"/>
      <sheetName val="ECM8"/>
      <sheetName val="ECM9"/>
      <sheetName val="ECM10"/>
      <sheetName val="ECM11"/>
      <sheetName val="ECM12"/>
      <sheetName val="Resumen ECM"/>
      <sheetName val="Presentación"/>
      <sheetName val="Output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0">
          <cell r="D20" t="str">
            <v>HVAC</v>
          </cell>
        </row>
        <row r="21">
          <cell r="D21" t="str">
            <v>Equipos para diagnóstico</v>
          </cell>
        </row>
        <row r="22">
          <cell r="D22" t="str">
            <v>Iluminación</v>
          </cell>
        </row>
        <row r="23">
          <cell r="D23" t="str">
            <v>Ofimáticos</v>
          </cell>
        </row>
        <row r="24">
          <cell r="D24" t="str">
            <v>Ascensores</v>
          </cell>
        </row>
        <row r="25">
          <cell r="D25" t="str">
            <v>Refrigeración</v>
          </cell>
        </row>
        <row r="26">
          <cell r="D26" t="str">
            <v>Bombeo</v>
          </cell>
        </row>
        <row r="27">
          <cell r="D27" t="str">
            <v>Electrodomésticos</v>
          </cell>
        </row>
        <row r="28">
          <cell r="D28" t="str">
            <v>Otros</v>
          </cell>
        </row>
        <row r="29">
          <cell r="D29" t="str">
            <v>Aire comprimido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Manuel Salazar" id="{1924CECF-9E61-403E-872A-40050A6060E1}" userId="eebd97fb36d9c079" providerId="Windows Live"/>
  <person displayName="Estefanía Alzate Giraldo" id="{6C56B39D-D69F-454A-A683-578E303D9873}" userId="S::E1Alzate@saludcapital.gov.co::494bd334-a18a-4c61-a441-4d21ebefc9ea" providerId="AD"/>
  <person displayName="Erni Ramos" id="{C9067579-253E-4DD1-888F-4AFBC719BCA8}" userId="S::eramos@ENERGIAEFICIENTESA.onmicrosoft.com::c4d6ace7-19b0-48b2-a2f5-6f1113f973ee" providerId="AD"/>
  <person displayName="Usuario invitado" id="{71896479-7241-4170-8415-52836BD21630}" userId="S::urn:spo:anon#08ff6d9115b54aed5216a97b8218a99cc09105e4d170473ae6a13e220c1ddc03::" providerId="AD"/>
  <person displayName="Usuario invitado" id="{7676F352-7A3B-487A-9C81-9FEA295A7C55}" userId="S::urn:spo:anon#991433210136b54a1185e721366b3be92528fb0fc2f7a1adca33ca0a10f4566a::" providerId="AD"/>
  <person displayName="Luis Mendoza" id="{98FBE9BF-501D-422B-AD2C-F3E947AD5377}" userId="S::cvalera@ENERGIAEFICIENTESA.onmicrosoft.com::49ba4f6b-e0b6-4da7-8fed-a6a926ad7cc9" providerId="AD"/>
  <person displayName="Manuel Salazar" id="{7CA4D740-2D3D-49D1-BA1C-4F02A785B056}" userId="S::msalazar@ENERGIAEFICIENTESA.onmicrosoft.com::bdf579f1-5f87-4542-87c6-14c86e36799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3.xml><?xml version="1.0" encoding="utf-8"?>
<ThreadedComments xmlns="http://schemas.microsoft.com/office/spreadsheetml/2018/threadedcomments" xmlns:x="http://schemas.openxmlformats.org/spreadsheetml/2006/main">
  <threadedComment ref="C34" dT="2023-07-14T21:40:41.85" personId="{7CA4D740-2D3D-49D1-BA1C-4F02A785B056}" id="{915253D1-8316-4DEB-973F-CFBA44DAD1F1}">
    <text>Banco de la república</text>
  </threadedComment>
  <threadedComment ref="B41" dT="2023-07-14T21:16:29.19" personId="{7CA4D740-2D3D-49D1-BA1C-4F02A785B056}" id="{B54B9F60-3C25-4AA0-8A45-FE75E7E0A571}">
    <text>Valores futuros</text>
  </threadedComment>
  <threadedComment ref="B42" dT="2023-07-17T14:05:29.47" personId="{71896479-7241-4170-8415-52836BD21630}" id="{C432F120-472B-4283-BCEC-989456B9AB5D}">
    <text>Valores futuros acumulados.</text>
  </threadedComment>
  <threadedComment ref="B70" dT="2023-07-14T21:10:07.19" personId="{7CA4D740-2D3D-49D1-BA1C-4F02A785B056}" id="{DE7C0869-BAF4-445F-9043-B45D3660572F}">
    <text>Se asume que la tarifa empieza a cambiar después del de inversión de proyecto.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J33" dT="2023-08-29T20:29:11.06" personId="{1924CECF-9E61-403E-872A-40050A6060E1}" id="{60E9F19A-4ED0-481A-8805-293EAFE8AADE}">
    <text>Se asume que el 60% de las personas que ingresan a las instalaciones consumen agua (principalmente baños, cocina y/o duchas)</text>
  </threadedComment>
  <threadedComment ref="BD33" dT="2023-08-29T20:29:11.06" personId="{1924CECF-9E61-403E-872A-40050A6060E1}" id="{07E54DD3-107A-4889-BD93-46422FCA0D54}">
    <text>Teniendo en cuanto que el consumo de la cocina representa cerca del 80-98% del total, con promedio de 92% en 2023, y teniendo en cuenta un área de cocina de 408 m2 estimada, se calcula el indicador respecto a esta área de uso.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C34" dT="2023-07-14T21:40:41.85" personId="{7CA4D740-2D3D-49D1-BA1C-4F02A785B056}" id="{4A5017E0-4B49-4968-AC4F-89FAC5E2CB4F}">
    <text>Banco de la república</text>
  </threadedComment>
  <threadedComment ref="B41" dT="2023-07-14T21:16:29.19" personId="{7CA4D740-2D3D-49D1-BA1C-4F02A785B056}" id="{4FC7F921-11F4-411F-BA37-753821E46409}">
    <text>Valores futuros</text>
  </threadedComment>
  <threadedComment ref="B42" dT="2023-07-17T14:05:29.47" personId="{71896479-7241-4170-8415-52836BD21630}" id="{E74B9674-3EBB-4BFE-8987-43D196A61606}">
    <text>Valores futuros acumulados.</text>
  </threadedComment>
  <threadedComment ref="B70" dT="2023-07-14T21:10:07.19" personId="{7CA4D740-2D3D-49D1-BA1C-4F02A785B056}" id="{8AC373EE-D870-48D2-9ACB-15275C0B705E}">
    <text>Se asume que la tarifa empieza a cambiar después del de inversión de proyecto.</text>
  </threadedComment>
</ThreadedComments>
</file>

<file path=xl/threadedComments/threadedComment9.xml><?xml version="1.0" encoding="utf-8"?>
<ThreadedComments xmlns="http://schemas.microsoft.com/office/spreadsheetml/2018/threadedcomments" xmlns:x="http://schemas.openxmlformats.org/spreadsheetml/2006/main">
  <threadedComment ref="C34" dT="2023-07-14T21:40:41.85" personId="{7CA4D740-2D3D-49D1-BA1C-4F02A785B056}" id="{122D5647-48D0-4DDF-8829-6C50346D41F7}">
    <text>Banco de la república</text>
  </threadedComment>
  <threadedComment ref="B41" dT="2023-07-14T21:16:29.19" personId="{7CA4D740-2D3D-49D1-BA1C-4F02A785B056}" id="{842120F2-F7A5-4CF7-ABCB-9E085B1C5FEC}">
    <text>Valores futuros</text>
  </threadedComment>
  <threadedComment ref="B42" dT="2023-07-17T14:05:29.47" personId="{71896479-7241-4170-8415-52836BD21630}" id="{FC8D4A4A-C20C-49E4-BFAB-D492E63C8CEE}">
    <text>Valores futuros acumulados.</text>
  </threadedComment>
  <threadedComment ref="B70" dT="2023-07-14T21:10:07.19" personId="{7CA4D740-2D3D-49D1-BA1C-4F02A785B056}" id="{A72DDCA7-8F76-45D4-9A24-26BCF688F456}">
    <text>Se asume que la tarifa empieza a cambiar después del de inversión de proyecto.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5.xml"/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9.xml"/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microsoft.com/office/2017/10/relationships/threadedComment" Target="../threadedComments/threadedComment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rgb="FFFFC000"/>
  </sheetPr>
  <dimension ref="A1:M14"/>
  <sheetViews>
    <sheetView showGridLines="0" workbookViewId="0">
      <selection activeCell="G15" sqref="G15"/>
    </sheetView>
  </sheetViews>
  <sheetFormatPr baseColWidth="10" defaultColWidth="11" defaultRowHeight="12.75"/>
  <sheetData>
    <row r="1" spans="1:13">
      <c r="I1" s="47" t="s">
        <v>2</v>
      </c>
      <c r="J1" s="47" t="s">
        <v>9</v>
      </c>
      <c r="K1" s="47" t="s">
        <v>10</v>
      </c>
      <c r="L1" s="47"/>
      <c r="M1" s="67"/>
    </row>
    <row r="2" spans="1:13">
      <c r="A2" t="s">
        <v>11</v>
      </c>
      <c r="I2" s="47" t="s">
        <v>12</v>
      </c>
      <c r="J2" s="47" t="s">
        <v>13</v>
      </c>
      <c r="K2" s="47" t="s">
        <v>14</v>
      </c>
      <c r="L2" s="47" t="s">
        <v>10</v>
      </c>
      <c r="M2" s="67"/>
    </row>
    <row r="3" spans="1:13" ht="13.5" thickBot="1">
      <c r="I3" s="47" t="s">
        <v>4</v>
      </c>
      <c r="J3" s="47" t="s">
        <v>15</v>
      </c>
      <c r="K3" s="47" t="s">
        <v>16</v>
      </c>
      <c r="L3" s="47" t="s">
        <v>10</v>
      </c>
      <c r="M3" s="67"/>
    </row>
    <row r="4" spans="1:13" ht="13.5" thickBot="1">
      <c r="A4" s="40" t="s">
        <v>2</v>
      </c>
      <c r="B4" s="41" t="s">
        <v>9</v>
      </c>
      <c r="I4" s="47" t="s">
        <v>17</v>
      </c>
      <c r="J4" s="47" t="s">
        <v>13</v>
      </c>
      <c r="K4" s="47" t="s">
        <v>18</v>
      </c>
      <c r="L4" s="47" t="s">
        <v>10</v>
      </c>
      <c r="M4" s="67"/>
    </row>
    <row r="5" spans="1:13" ht="13.5" thickBot="1">
      <c r="A5" s="69" t="s">
        <v>12</v>
      </c>
      <c r="B5" s="42" t="s">
        <v>13</v>
      </c>
      <c r="I5" s="47" t="s">
        <v>19</v>
      </c>
      <c r="J5" s="47" t="s">
        <v>20</v>
      </c>
      <c r="K5" s="47" t="s">
        <v>21</v>
      </c>
      <c r="L5" s="47" t="s">
        <v>22</v>
      </c>
      <c r="M5" s="67"/>
    </row>
    <row r="6" spans="1:13" ht="13.5" thickBot="1">
      <c r="A6" s="40" t="s">
        <v>23</v>
      </c>
      <c r="B6" s="41" t="s">
        <v>16</v>
      </c>
      <c r="I6" s="47"/>
      <c r="J6" s="47"/>
      <c r="K6" s="47"/>
      <c r="L6" s="47"/>
      <c r="M6" s="67"/>
    </row>
    <row r="7" spans="1:13" ht="13.5" thickBot="1">
      <c r="A7" s="40" t="s">
        <v>17</v>
      </c>
      <c r="B7" s="41" t="s">
        <v>10</v>
      </c>
      <c r="I7" s="47"/>
      <c r="J7" s="47"/>
      <c r="K7" s="47"/>
      <c r="L7" s="47"/>
      <c r="M7" s="67"/>
    </row>
    <row r="8" spans="1:13" ht="13.5" thickBot="1">
      <c r="A8" s="69" t="s">
        <v>24</v>
      </c>
      <c r="B8" s="42" t="s">
        <v>13</v>
      </c>
      <c r="I8" s="47"/>
      <c r="J8" s="47"/>
      <c r="K8" s="47"/>
      <c r="L8" s="47"/>
      <c r="M8" s="67"/>
    </row>
    <row r="9" spans="1:13" ht="13.5" thickBot="1">
      <c r="A9" s="40" t="s">
        <v>19</v>
      </c>
      <c r="B9" s="48" t="s">
        <v>20</v>
      </c>
      <c r="I9" s="19"/>
      <c r="J9" s="67"/>
      <c r="K9" s="67"/>
      <c r="L9" s="67"/>
      <c r="M9" s="67"/>
    </row>
    <row r="10" spans="1:13">
      <c r="I10" s="19"/>
      <c r="J10" s="67"/>
      <c r="K10" s="67"/>
      <c r="L10" s="67"/>
      <c r="M10" s="67"/>
    </row>
    <row r="11" spans="1:13">
      <c r="I11" s="19"/>
      <c r="J11" s="67"/>
      <c r="K11" s="67"/>
      <c r="L11" s="67"/>
      <c r="M11" s="67"/>
    </row>
    <row r="12" spans="1:13">
      <c r="I12" s="19"/>
      <c r="J12" s="19"/>
      <c r="K12" s="19"/>
      <c r="L12" s="19"/>
    </row>
    <row r="13" spans="1:13">
      <c r="I13" s="19"/>
      <c r="J13" s="19"/>
      <c r="K13" s="19"/>
      <c r="L13" s="19"/>
    </row>
    <row r="14" spans="1:13">
      <c r="I14" s="19"/>
      <c r="J14" s="19"/>
      <c r="K14" s="19"/>
      <c r="L14" s="19"/>
    </row>
  </sheetData>
  <dataValidations count="4">
    <dataValidation type="list" allowBlank="1" showInputMessage="1" showErrorMessage="1" sqref="B9">
      <formula1>$J$5:$L$5</formula1>
    </dataValidation>
    <dataValidation type="list" allowBlank="1" showInputMessage="1" showErrorMessage="1" sqref="B6:B7">
      <formula1>$J$3:$L$3</formula1>
    </dataValidation>
    <dataValidation type="list" allowBlank="1" showInputMessage="1" showErrorMessage="1" sqref="B8 B5">
      <formula1>$J$2:$L$2</formula1>
    </dataValidation>
    <dataValidation type="list" allowBlank="1" showInputMessage="1" showErrorMessage="1" sqref="B4">
      <formula1>$J$1:$K$1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11"/>
  <sheetViews>
    <sheetView showGridLines="0" topLeftCell="A10" zoomScale="70" zoomScaleNormal="70" workbookViewId="0">
      <selection activeCell="J42" sqref="J42"/>
    </sheetView>
  </sheetViews>
  <sheetFormatPr baseColWidth="10" defaultColWidth="9.140625" defaultRowHeight="12.75"/>
  <cols>
    <col min="1" max="2" width="32.7109375" style="209" customWidth="1"/>
    <col min="3" max="4" width="17.85546875" style="209" bestFit="1" customWidth="1"/>
    <col min="5" max="5" width="22.140625" style="209" bestFit="1" customWidth="1"/>
    <col min="6" max="6" width="19.85546875" style="209" bestFit="1" customWidth="1"/>
    <col min="7" max="7" width="20.42578125" style="209" bestFit="1" customWidth="1"/>
    <col min="8" max="8" width="18.5703125" style="209" bestFit="1" customWidth="1"/>
    <col min="9" max="9" width="16.5703125" style="209" customWidth="1"/>
    <col min="10" max="10" width="15.140625" style="209" bestFit="1" customWidth="1"/>
    <col min="11" max="13" width="14.5703125" style="209" bestFit="1" customWidth="1"/>
    <col min="14" max="14" width="14.28515625" style="209" bestFit="1" customWidth="1"/>
    <col min="15" max="15" width="14.7109375" style="209" bestFit="1" customWidth="1"/>
    <col min="16" max="16" width="15.42578125" style="209" bestFit="1" customWidth="1"/>
    <col min="17" max="17" width="14.7109375" style="209" bestFit="1" customWidth="1"/>
    <col min="18" max="18" width="15.140625" style="209" bestFit="1" customWidth="1"/>
    <col min="19" max="19" width="15.42578125" style="209" bestFit="1" customWidth="1"/>
    <col min="20" max="20" width="15.140625" style="209" bestFit="1" customWidth="1"/>
    <col min="21" max="21" width="15.42578125" style="209" bestFit="1" customWidth="1"/>
    <col min="22" max="22" width="14.42578125" style="209" bestFit="1" customWidth="1"/>
    <col min="23" max="23" width="14.7109375" style="209" bestFit="1" customWidth="1"/>
    <col min="24" max="16384" width="9.140625" style="209"/>
  </cols>
  <sheetData>
    <row r="1" spans="2:15">
      <c r="L1" s="210" t="s">
        <v>236</v>
      </c>
      <c r="M1" s="210" t="s">
        <v>237</v>
      </c>
      <c r="N1" s="210" t="s">
        <v>4</v>
      </c>
      <c r="O1" s="210" t="s">
        <v>238</v>
      </c>
    </row>
    <row r="2" spans="2:15">
      <c r="L2" s="210" t="s">
        <v>239</v>
      </c>
      <c r="M2" s="210" t="s">
        <v>13</v>
      </c>
      <c r="N2" s="210" t="s">
        <v>15</v>
      </c>
      <c r="O2" s="210" t="s">
        <v>9</v>
      </c>
    </row>
    <row r="3" spans="2:15" ht="23.25">
      <c r="B3" s="457" t="s">
        <v>240</v>
      </c>
      <c r="C3" s="457"/>
      <c r="D3" s="457"/>
      <c r="E3" s="457"/>
      <c r="F3" s="457"/>
      <c r="G3" s="457"/>
      <c r="H3" s="457"/>
      <c r="I3" s="457"/>
      <c r="L3" s="210" t="s">
        <v>241</v>
      </c>
      <c r="M3" s="210" t="s">
        <v>9</v>
      </c>
      <c r="N3" s="210" t="s">
        <v>9</v>
      </c>
      <c r="O3" s="210" t="s">
        <v>15</v>
      </c>
    </row>
    <row r="4" spans="2:15" ht="15.75">
      <c r="B4" s="458" t="s">
        <v>242</v>
      </c>
      <c r="C4" s="458"/>
      <c r="D4" s="458"/>
      <c r="E4" s="458"/>
      <c r="F4" s="458" t="s">
        <v>243</v>
      </c>
      <c r="G4" s="458"/>
      <c r="H4" s="458"/>
      <c r="I4" s="458"/>
      <c r="L4" s="210"/>
      <c r="M4" s="210"/>
      <c r="N4" s="210"/>
      <c r="O4" s="210"/>
    </row>
    <row r="5" spans="2:15" ht="23.25" customHeight="1">
      <c r="B5" s="459" t="s">
        <v>244</v>
      </c>
      <c r="C5" s="460"/>
      <c r="D5" s="460"/>
      <c r="E5" s="461"/>
      <c r="F5" s="468" t="s">
        <v>245</v>
      </c>
      <c r="G5" s="468"/>
      <c r="H5" s="468"/>
      <c r="I5" s="468"/>
      <c r="L5" s="210"/>
      <c r="M5" s="210"/>
      <c r="N5" s="210"/>
      <c r="O5" s="210"/>
    </row>
    <row r="6" spans="2:15" ht="23.25" customHeight="1">
      <c r="B6" s="462"/>
      <c r="C6" s="463"/>
      <c r="D6" s="463"/>
      <c r="E6" s="464"/>
      <c r="F6" s="468"/>
      <c r="G6" s="468"/>
      <c r="H6" s="468"/>
      <c r="I6" s="468"/>
      <c r="L6" s="210"/>
      <c r="M6" s="210"/>
      <c r="N6" s="210"/>
      <c r="O6" s="210"/>
    </row>
    <row r="7" spans="2:15" ht="23.25" customHeight="1">
      <c r="B7" s="462"/>
      <c r="C7" s="463"/>
      <c r="D7" s="463"/>
      <c r="E7" s="464"/>
      <c r="F7" s="468"/>
      <c r="G7" s="468"/>
      <c r="H7" s="468"/>
      <c r="I7" s="468"/>
      <c r="L7" s="210"/>
      <c r="M7" s="210"/>
      <c r="N7" s="210"/>
      <c r="O7" s="210"/>
    </row>
    <row r="8" spans="2:15" ht="23.25" customHeight="1">
      <c r="B8" s="462"/>
      <c r="C8" s="463"/>
      <c r="D8" s="463"/>
      <c r="E8" s="464"/>
      <c r="F8" s="468"/>
      <c r="G8" s="468"/>
      <c r="H8" s="468"/>
      <c r="I8" s="468"/>
      <c r="L8" s="210"/>
      <c r="M8" s="210"/>
      <c r="N8" s="210"/>
      <c r="O8" s="210"/>
    </row>
    <row r="9" spans="2:15" ht="24" customHeight="1">
      <c r="B9" s="465"/>
      <c r="C9" s="466"/>
      <c r="D9" s="466"/>
      <c r="E9" s="467"/>
      <c r="F9" s="468"/>
      <c r="G9" s="468"/>
      <c r="H9" s="468"/>
      <c r="I9" s="468"/>
      <c r="L9" s="210"/>
      <c r="M9" s="210"/>
      <c r="N9" s="210"/>
      <c r="O9" s="210"/>
    </row>
    <row r="10" spans="2:15" ht="13.5" thickBot="1">
      <c r="B10" s="211" t="s">
        <v>246</v>
      </c>
      <c r="C10" s="469" t="str">
        <f>+'List of ECMs'!A3</f>
        <v>ECM-1</v>
      </c>
      <c r="D10" s="469"/>
      <c r="E10" s="469"/>
      <c r="F10" s="469"/>
      <c r="G10" s="469"/>
      <c r="H10" s="469"/>
      <c r="I10" s="469"/>
    </row>
    <row r="11" spans="2:15" ht="13.5" thickBot="1">
      <c r="B11" s="212" t="s">
        <v>247</v>
      </c>
      <c r="C11" s="470"/>
      <c r="D11" s="470"/>
      <c r="E11" s="470"/>
      <c r="F11" s="470"/>
      <c r="G11" s="470"/>
      <c r="H11" s="470"/>
      <c r="I11" s="470"/>
    </row>
    <row r="12" spans="2:15" ht="13.5" thickBot="1">
      <c r="B12" s="212" t="s">
        <v>248</v>
      </c>
      <c r="C12" s="471" t="str">
        <f>+'List of ECMs'!B3</f>
        <v>Reemplazo de lámparas de sodio y fluorescentes por tecnología LED</v>
      </c>
      <c r="D12" s="472"/>
      <c r="E12" s="472"/>
      <c r="F12" s="472"/>
      <c r="G12" s="472"/>
      <c r="H12" s="472"/>
      <c r="I12" s="473"/>
    </row>
    <row r="13" spans="2:15" ht="13.5" thickBot="1">
      <c r="B13" s="212" t="s">
        <v>19</v>
      </c>
      <c r="C13" s="454" t="str">
        <f>+'Unidades de Trabajo'!B9</f>
        <v>COP</v>
      </c>
      <c r="D13" s="455"/>
      <c r="E13" s="455"/>
      <c r="F13" s="455"/>
      <c r="G13" s="455"/>
      <c r="H13" s="455"/>
      <c r="I13" s="456"/>
    </row>
    <row r="14" spans="2:15" ht="13.5" thickBot="1">
      <c r="B14" s="212" t="s">
        <v>249</v>
      </c>
      <c r="C14" s="454" t="str">
        <f>+'Unidades de Trabajo'!B4</f>
        <v>kWh</v>
      </c>
      <c r="D14" s="455"/>
      <c r="E14" s="455"/>
      <c r="F14" s="455"/>
      <c r="G14" s="455"/>
      <c r="H14" s="455"/>
      <c r="I14" s="456"/>
    </row>
    <row r="15" spans="2:15" ht="13.5" thickBot="1">
      <c r="B15" s="212" t="s">
        <v>250</v>
      </c>
      <c r="C15" s="454" t="str">
        <f>+'Unidades de Trabajo'!B5</f>
        <v>m3</v>
      </c>
      <c r="D15" s="455"/>
      <c r="E15" s="455"/>
      <c r="F15" s="455"/>
      <c r="G15" s="455"/>
      <c r="H15" s="455"/>
      <c r="I15" s="456"/>
    </row>
    <row r="16" spans="2:15" ht="13.5" thickBot="1">
      <c r="B16" s="212" t="s">
        <v>251</v>
      </c>
      <c r="C16" s="454" t="str">
        <f>+'Unidades de Trabajo'!B6</f>
        <v>Gal</v>
      </c>
      <c r="D16" s="455"/>
      <c r="E16" s="455"/>
      <c r="F16" s="455"/>
      <c r="G16" s="455"/>
      <c r="H16" s="455"/>
      <c r="I16" s="456"/>
    </row>
    <row r="17" spans="2:12" ht="13.5" thickBot="1">
      <c r="B17" s="212" t="s">
        <v>252</v>
      </c>
      <c r="C17" s="454" t="str">
        <f>+'Unidades de Trabajo'!B7</f>
        <v>NA</v>
      </c>
      <c r="D17" s="455"/>
      <c r="E17" s="455"/>
      <c r="F17" s="455"/>
      <c r="G17" s="455"/>
      <c r="H17" s="455"/>
      <c r="I17" s="456"/>
    </row>
    <row r="18" spans="2:12" ht="13.5" thickBot="1">
      <c r="B18" s="213" t="s">
        <v>253</v>
      </c>
      <c r="C18" s="454" t="str">
        <f>+'Unidades de Trabajo'!B8</f>
        <v>m3</v>
      </c>
      <c r="D18" s="455"/>
      <c r="E18" s="455"/>
      <c r="F18" s="455"/>
      <c r="G18" s="455"/>
      <c r="H18" s="455"/>
      <c r="I18" s="456"/>
    </row>
    <row r="19" spans="2:12">
      <c r="B19" s="214"/>
    </row>
    <row r="20" spans="2:12" ht="15.75" thickBot="1">
      <c r="B20" s="215" t="s">
        <v>254</v>
      </c>
      <c r="C20" s="216"/>
      <c r="D20" s="216"/>
      <c r="F20" s="476" t="s">
        <v>255</v>
      </c>
      <c r="G20" s="476"/>
      <c r="H20" s="476"/>
      <c r="J20" s="217"/>
      <c r="K20" s="217"/>
      <c r="L20" s="217"/>
    </row>
    <row r="21" spans="2:12" ht="15.75" thickBot="1">
      <c r="B21" s="218" t="s">
        <v>256</v>
      </c>
      <c r="C21" s="279">
        <f>E111</f>
        <v>124794610</v>
      </c>
      <c r="D21" s="219" t="str">
        <f>+C13</f>
        <v>COP</v>
      </c>
      <c r="E21" s="220"/>
      <c r="F21" s="221" t="s">
        <v>257</v>
      </c>
      <c r="G21" s="222">
        <f>IRR(C41:M41)*100</f>
        <v>111.86316636181148</v>
      </c>
      <c r="H21" s="221" t="s">
        <v>27</v>
      </c>
      <c r="J21" s="217"/>
      <c r="K21" s="223"/>
      <c r="L21" s="217"/>
    </row>
    <row r="22" spans="2:12" ht="15.75" thickBot="1">
      <c r="B22" s="218" t="s">
        <v>258</v>
      </c>
      <c r="C22" s="224">
        <v>5</v>
      </c>
      <c r="D22" s="219" t="s">
        <v>259</v>
      </c>
      <c r="F22" s="221" t="s">
        <v>260</v>
      </c>
      <c r="G22" s="287">
        <f>+C41+NPV(C34/100,D41:M41)</f>
        <v>632906764.74446344</v>
      </c>
      <c r="H22" s="221" t="str">
        <f>+C13</f>
        <v>COP</v>
      </c>
      <c r="J22" s="217"/>
      <c r="K22" s="226"/>
      <c r="L22" s="217"/>
    </row>
    <row r="23" spans="2:12" ht="15.75" customHeight="1" thickBot="1">
      <c r="B23" s="218" t="s">
        <v>261</v>
      </c>
      <c r="C23" s="224">
        <v>5</v>
      </c>
      <c r="D23" s="219" t="s">
        <v>259</v>
      </c>
      <c r="F23" s="227" t="s">
        <v>262</v>
      </c>
      <c r="G23" s="228">
        <f>IF(C22&lt;=1,1,ABS(INTERCEPT(D44:M44,D37:M37))/ABS(SLOPE(D44:M44,D37:M37)))</f>
        <v>0.96642031976008069</v>
      </c>
      <c r="H23" s="227" t="s">
        <v>263</v>
      </c>
      <c r="K23" s="229"/>
    </row>
    <row r="24" spans="2:12" ht="15.75" thickBot="1">
      <c r="B24" s="230"/>
      <c r="C24" s="231"/>
      <c r="D24" s="232"/>
      <c r="F24" s="227" t="s">
        <v>264</v>
      </c>
      <c r="G24" s="286">
        <f>D47</f>
        <v>137868330.65362561</v>
      </c>
      <c r="H24" s="221" t="s">
        <v>20</v>
      </c>
    </row>
    <row r="25" spans="2:12" ht="15.75" thickBot="1">
      <c r="F25" s="227" t="s">
        <v>265</v>
      </c>
      <c r="G25" s="228">
        <f>C27/(Electricidad!E17*12)*100</f>
        <v>6.7055089103145864</v>
      </c>
      <c r="H25" s="221" t="s">
        <v>27</v>
      </c>
      <c r="K25" s="234"/>
    </row>
    <row r="26" spans="2:12" ht="15.75" thickBot="1">
      <c r="B26" s="215" t="s">
        <v>266</v>
      </c>
      <c r="C26" s="215"/>
      <c r="D26" s="215"/>
      <c r="F26" s="227" t="s">
        <v>267</v>
      </c>
      <c r="G26" s="228">
        <f>C27*'Gráficos de control'!$N$37/1000</f>
        <v>27.647101440000004</v>
      </c>
      <c r="H26" s="227" t="s">
        <v>268</v>
      </c>
    </row>
    <row r="27" spans="2:12" ht="12.2" customHeight="1" thickBot="1">
      <c r="B27" s="235" t="s">
        <v>2</v>
      </c>
      <c r="C27" s="325">
        <v>219421.44</v>
      </c>
      <c r="D27" s="219" t="str">
        <f>+C14</f>
        <v>kWh</v>
      </c>
      <c r="E27" s="306"/>
    </row>
    <row r="28" spans="2:12" ht="13.5" thickBot="1">
      <c r="B28" s="235" t="s">
        <v>12</v>
      </c>
      <c r="C28" s="237"/>
      <c r="D28" s="219" t="str">
        <f>+C15</f>
        <v>m3</v>
      </c>
      <c r="E28" s="307"/>
      <c r="I28" s="238"/>
    </row>
    <row r="29" spans="2:12" ht="13.5" thickBot="1">
      <c r="B29" s="235" t="s">
        <v>4</v>
      </c>
      <c r="C29" s="237"/>
      <c r="D29" s="219" t="str">
        <f>+C16</f>
        <v>Gal</v>
      </c>
      <c r="H29" s="25"/>
      <c r="I29" s="238"/>
    </row>
    <row r="30" spans="2:12" ht="13.5" thickBot="1">
      <c r="B30" s="235" t="s">
        <v>17</v>
      </c>
      <c r="C30" s="237"/>
      <c r="D30" s="219" t="str">
        <f>+C17</f>
        <v>NA</v>
      </c>
      <c r="H30" s="25"/>
      <c r="I30" s="238"/>
    </row>
    <row r="31" spans="2:12" ht="13.5" thickBot="1">
      <c r="B31" s="235" t="s">
        <v>24</v>
      </c>
      <c r="C31" s="239"/>
      <c r="D31" s="219" t="str">
        <f>+C18</f>
        <v>m3</v>
      </c>
    </row>
    <row r="32" spans="2:12" ht="12.2" customHeight="1" thickBot="1">
      <c r="B32" s="235" t="s">
        <v>6</v>
      </c>
      <c r="C32" s="239"/>
      <c r="D32" s="219" t="str">
        <f>+C13</f>
        <v>COP</v>
      </c>
    </row>
    <row r="33" spans="1:23" ht="13.5" thickBot="1">
      <c r="B33" s="235" t="s">
        <v>269</v>
      </c>
      <c r="C33" s="324">
        <v>0.35</v>
      </c>
      <c r="D33" s="219" t="s">
        <v>27</v>
      </c>
    </row>
    <row r="34" spans="1:23" ht="13.5" thickBot="1">
      <c r="B34" s="218" t="s">
        <v>270</v>
      </c>
      <c r="C34" s="324">
        <v>0.08</v>
      </c>
      <c r="D34" s="219" t="s">
        <v>27</v>
      </c>
      <c r="E34" s="240"/>
    </row>
    <row r="35" spans="1:23" ht="13.5" thickBot="1">
      <c r="B35" s="218" t="s">
        <v>271</v>
      </c>
      <c r="C35" s="237"/>
      <c r="D35" s="219" t="str">
        <f>+C13</f>
        <v>COP</v>
      </c>
      <c r="F35" s="241"/>
    </row>
    <row r="36" spans="1:23" ht="12.2" customHeight="1" thickBot="1"/>
    <row r="37" spans="1:23" ht="17.25" customHeight="1" thickBot="1">
      <c r="B37" s="242" t="s">
        <v>272</v>
      </c>
      <c r="C37" s="243">
        <v>0</v>
      </c>
      <c r="D37" s="243">
        <v>1</v>
      </c>
      <c r="E37" s="243">
        <v>2</v>
      </c>
      <c r="F37" s="243">
        <v>3</v>
      </c>
      <c r="G37" s="243">
        <v>4</v>
      </c>
      <c r="H37" s="243">
        <v>5</v>
      </c>
      <c r="I37" s="243">
        <v>6</v>
      </c>
      <c r="J37" s="243">
        <v>7</v>
      </c>
      <c r="K37" s="243">
        <v>8</v>
      </c>
      <c r="L37" s="243">
        <v>9</v>
      </c>
      <c r="M37" s="243">
        <v>10</v>
      </c>
      <c r="N37" s="244">
        <v>11</v>
      </c>
      <c r="O37" s="244">
        <v>12</v>
      </c>
      <c r="P37" s="244">
        <v>13</v>
      </c>
      <c r="Q37" s="244">
        <v>14</v>
      </c>
      <c r="R37" s="244">
        <v>15</v>
      </c>
      <c r="S37" s="244">
        <v>16</v>
      </c>
      <c r="T37" s="244">
        <v>17</v>
      </c>
      <c r="U37" s="244">
        <v>18</v>
      </c>
      <c r="V37" s="244">
        <v>19</v>
      </c>
      <c r="W37" s="244">
        <v>20</v>
      </c>
    </row>
    <row r="38" spans="1:23">
      <c r="B38" s="245" t="s">
        <v>273</v>
      </c>
      <c r="C38" s="278">
        <f>-C21</f>
        <v>-124794610</v>
      </c>
      <c r="D38" s="278">
        <v>0</v>
      </c>
      <c r="E38" s="278">
        <f>IF(E$37&lt;=$C$22,0,0)</f>
        <v>0</v>
      </c>
      <c r="F38" s="278">
        <f>IF(F$37&lt;=$C$22,0,0)</f>
        <v>0</v>
      </c>
      <c r="G38" s="278">
        <f t="shared" ref="G38:W38" si="0">IF(G$37&lt;=$C$22,0,0)</f>
        <v>0</v>
      </c>
      <c r="H38" s="278">
        <f t="shared" si="0"/>
        <v>0</v>
      </c>
      <c r="I38" s="278">
        <f t="shared" si="0"/>
        <v>0</v>
      </c>
      <c r="J38" s="278">
        <f t="shared" si="0"/>
        <v>0</v>
      </c>
      <c r="K38" s="278">
        <f t="shared" si="0"/>
        <v>0</v>
      </c>
      <c r="L38" s="278">
        <f t="shared" si="0"/>
        <v>0</v>
      </c>
      <c r="M38" s="278">
        <f t="shared" si="0"/>
        <v>0</v>
      </c>
      <c r="N38" s="278">
        <f t="shared" si="0"/>
        <v>0</v>
      </c>
      <c r="O38" s="278">
        <f t="shared" si="0"/>
        <v>0</v>
      </c>
      <c r="P38" s="278">
        <f t="shared" si="0"/>
        <v>0</v>
      </c>
      <c r="Q38" s="278">
        <f t="shared" si="0"/>
        <v>0</v>
      </c>
      <c r="R38" s="278">
        <f t="shared" si="0"/>
        <v>0</v>
      </c>
      <c r="S38" s="278">
        <f t="shared" si="0"/>
        <v>0</v>
      </c>
      <c r="T38" s="278">
        <f t="shared" si="0"/>
        <v>0</v>
      </c>
      <c r="U38" s="278">
        <f t="shared" si="0"/>
        <v>0</v>
      </c>
      <c r="V38" s="278">
        <f t="shared" si="0"/>
        <v>0</v>
      </c>
      <c r="W38" s="278">
        <f t="shared" si="0"/>
        <v>0</v>
      </c>
    </row>
    <row r="39" spans="1:23">
      <c r="B39" s="245" t="s">
        <v>274</v>
      </c>
      <c r="C39" s="278">
        <f>C60</f>
        <v>0</v>
      </c>
      <c r="D39" s="278">
        <f>D60</f>
        <v>137868330.65362561</v>
      </c>
      <c r="E39" s="278">
        <f>IF(E$46&lt;=$C$22,E60,0)</f>
        <v>144761747.18630689</v>
      </c>
      <c r="F39" s="278">
        <f>IF(F$46&lt;=$C$22,F60,0)</f>
        <v>151999834.54562226</v>
      </c>
      <c r="G39" s="278">
        <f t="shared" ref="G39:W39" si="1">IF(G$46&lt;=$C$22,G60,0)</f>
        <v>159599826.27290338</v>
      </c>
      <c r="H39" s="278">
        <f t="shared" si="1"/>
        <v>167579817.58654857</v>
      </c>
      <c r="I39" s="278">
        <f t="shared" si="1"/>
        <v>0</v>
      </c>
      <c r="J39" s="278">
        <f t="shared" si="1"/>
        <v>0</v>
      </c>
      <c r="K39" s="278">
        <f t="shared" si="1"/>
        <v>0</v>
      </c>
      <c r="L39" s="278">
        <f t="shared" si="1"/>
        <v>0</v>
      </c>
      <c r="M39" s="278">
        <f t="shared" si="1"/>
        <v>0</v>
      </c>
      <c r="N39" s="278">
        <f t="shared" si="1"/>
        <v>0</v>
      </c>
      <c r="O39" s="278">
        <f t="shared" si="1"/>
        <v>0</v>
      </c>
      <c r="P39" s="278">
        <f t="shared" si="1"/>
        <v>0</v>
      </c>
      <c r="Q39" s="278">
        <f t="shared" si="1"/>
        <v>0</v>
      </c>
      <c r="R39" s="278">
        <f t="shared" si="1"/>
        <v>0</v>
      </c>
      <c r="S39" s="278">
        <f t="shared" si="1"/>
        <v>0</v>
      </c>
      <c r="T39" s="278">
        <f t="shared" si="1"/>
        <v>0</v>
      </c>
      <c r="U39" s="278">
        <f t="shared" si="1"/>
        <v>0</v>
      </c>
      <c r="V39" s="278">
        <f t="shared" si="1"/>
        <v>0</v>
      </c>
      <c r="W39" s="278">
        <f t="shared" si="1"/>
        <v>0</v>
      </c>
    </row>
    <row r="40" spans="1:23">
      <c r="B40" s="245" t="s">
        <v>275</v>
      </c>
      <c r="C40" s="278">
        <f>C63</f>
        <v>0</v>
      </c>
      <c r="D40" s="278">
        <f>D63</f>
        <v>-395182.93028768955</v>
      </c>
      <c r="E40" s="278">
        <f>IF(E$46&lt;=$C$22,E63,0)</f>
        <v>-419309.88815207407</v>
      </c>
      <c r="F40" s="278">
        <f>IF(F$46&lt;=$C$22,F63,0)</f>
        <v>-444643.19390967785</v>
      </c>
      <c r="G40" s="278">
        <f t="shared" ref="G40:W40" si="2">IF(G$46&lt;=$C$22,G63,0)</f>
        <v>-471243.1649551618</v>
      </c>
      <c r="H40" s="278">
        <f t="shared" si="2"/>
        <v>-499173.13455291995</v>
      </c>
      <c r="I40" s="278">
        <f t="shared" si="2"/>
        <v>0</v>
      </c>
      <c r="J40" s="278">
        <f t="shared" si="2"/>
        <v>0</v>
      </c>
      <c r="K40" s="278">
        <f t="shared" si="2"/>
        <v>0</v>
      </c>
      <c r="L40" s="278">
        <f t="shared" si="2"/>
        <v>0</v>
      </c>
      <c r="M40" s="278">
        <f t="shared" si="2"/>
        <v>0</v>
      </c>
      <c r="N40" s="278">
        <f t="shared" si="2"/>
        <v>0</v>
      </c>
      <c r="O40" s="278">
        <f t="shared" si="2"/>
        <v>0</v>
      </c>
      <c r="P40" s="278">
        <f t="shared" si="2"/>
        <v>0</v>
      </c>
      <c r="Q40" s="278">
        <f t="shared" si="2"/>
        <v>0</v>
      </c>
      <c r="R40" s="278">
        <f t="shared" si="2"/>
        <v>0</v>
      </c>
      <c r="S40" s="278">
        <f t="shared" si="2"/>
        <v>0</v>
      </c>
      <c r="T40" s="278">
        <f t="shared" si="2"/>
        <v>0</v>
      </c>
      <c r="U40" s="278">
        <f t="shared" si="2"/>
        <v>0</v>
      </c>
      <c r="V40" s="278">
        <f t="shared" si="2"/>
        <v>0</v>
      </c>
      <c r="W40" s="278">
        <f t="shared" si="2"/>
        <v>0</v>
      </c>
    </row>
    <row r="41" spans="1:23" ht="15">
      <c r="B41" s="247" t="s">
        <v>276</v>
      </c>
      <c r="C41" s="280">
        <f>SUM(C38:C40)</f>
        <v>-124794610</v>
      </c>
      <c r="D41" s="280">
        <f>SUM(D38:D40)</f>
        <v>137473147.72333792</v>
      </c>
      <c r="E41" s="280">
        <f>IF(E$46&lt;=$C$22,SUM(E38:E40),0)</f>
        <v>144342437.29815483</v>
      </c>
      <c r="F41" s="280">
        <f>IF(F$46&lt;=$C$22,SUM(F38:F40),0)</f>
        <v>151555191.35171258</v>
      </c>
      <c r="G41" s="280">
        <f t="shared" ref="G41:W41" si="3">IF(G$46&lt;=$C$22,SUM(G38:G40),0)</f>
        <v>159128583.10794821</v>
      </c>
      <c r="H41" s="280">
        <f t="shared" si="3"/>
        <v>167080644.45199564</v>
      </c>
      <c r="I41" s="280">
        <f t="shared" si="3"/>
        <v>0</v>
      </c>
      <c r="J41" s="280">
        <f t="shared" si="3"/>
        <v>0</v>
      </c>
      <c r="K41" s="280">
        <f t="shared" si="3"/>
        <v>0</v>
      </c>
      <c r="L41" s="280">
        <f t="shared" si="3"/>
        <v>0</v>
      </c>
      <c r="M41" s="280">
        <f t="shared" si="3"/>
        <v>0</v>
      </c>
      <c r="N41" s="280">
        <f t="shared" si="3"/>
        <v>0</v>
      </c>
      <c r="O41" s="280">
        <f t="shared" si="3"/>
        <v>0</v>
      </c>
      <c r="P41" s="280">
        <f t="shared" si="3"/>
        <v>0</v>
      </c>
      <c r="Q41" s="280">
        <f t="shared" si="3"/>
        <v>0</v>
      </c>
      <c r="R41" s="280">
        <f t="shared" si="3"/>
        <v>0</v>
      </c>
      <c r="S41" s="280">
        <f t="shared" si="3"/>
        <v>0</v>
      </c>
      <c r="T41" s="280">
        <f t="shared" si="3"/>
        <v>0</v>
      </c>
      <c r="U41" s="280">
        <f t="shared" si="3"/>
        <v>0</v>
      </c>
      <c r="V41" s="280">
        <f t="shared" si="3"/>
        <v>0</v>
      </c>
      <c r="W41" s="280">
        <f t="shared" si="3"/>
        <v>0</v>
      </c>
    </row>
    <row r="42" spans="1:23" ht="14.25">
      <c r="B42" s="249" t="s">
        <v>277</v>
      </c>
      <c r="C42" s="278">
        <f>C41</f>
        <v>-124794610</v>
      </c>
      <c r="D42" s="278">
        <f>C42+D41</f>
        <v>12678537.723337919</v>
      </c>
      <c r="E42" s="278">
        <f>IF(E$46&lt;=$C$22,D42+E41,0)</f>
        <v>157020975.02149275</v>
      </c>
      <c r="F42" s="278">
        <f>IF(F$46&lt;=$C$22,E42+F41,0)</f>
        <v>308576166.3732053</v>
      </c>
      <c r="G42" s="278">
        <f t="shared" ref="G42:W42" si="4">IF(G$46&lt;=$C$22,F42+G41,0)</f>
        <v>467704749.48115349</v>
      </c>
      <c r="H42" s="278">
        <f t="shared" si="4"/>
        <v>634785393.9331491</v>
      </c>
      <c r="I42" s="278">
        <f t="shared" si="4"/>
        <v>0</v>
      </c>
      <c r="J42" s="278">
        <f t="shared" si="4"/>
        <v>0</v>
      </c>
      <c r="K42" s="278">
        <f t="shared" si="4"/>
        <v>0</v>
      </c>
      <c r="L42" s="278">
        <f t="shared" si="4"/>
        <v>0</v>
      </c>
      <c r="M42" s="278">
        <f t="shared" si="4"/>
        <v>0</v>
      </c>
      <c r="N42" s="278">
        <f t="shared" si="4"/>
        <v>0</v>
      </c>
      <c r="O42" s="278">
        <f t="shared" si="4"/>
        <v>0</v>
      </c>
      <c r="P42" s="278">
        <f t="shared" si="4"/>
        <v>0</v>
      </c>
      <c r="Q42" s="278">
        <f t="shared" si="4"/>
        <v>0</v>
      </c>
      <c r="R42" s="278">
        <f t="shared" si="4"/>
        <v>0</v>
      </c>
      <c r="S42" s="278">
        <f t="shared" si="4"/>
        <v>0</v>
      </c>
      <c r="T42" s="278">
        <f t="shared" si="4"/>
        <v>0</v>
      </c>
      <c r="U42" s="278">
        <f t="shared" si="4"/>
        <v>0</v>
      </c>
      <c r="V42" s="278">
        <f t="shared" si="4"/>
        <v>0</v>
      </c>
      <c r="W42" s="278">
        <f t="shared" si="4"/>
        <v>0</v>
      </c>
    </row>
    <row r="43" spans="1:23" ht="14.25">
      <c r="B43" s="249" t="s">
        <v>278</v>
      </c>
      <c r="C43" s="278">
        <f>C$41/(1+$C$34/100)^C37</f>
        <v>-124794610</v>
      </c>
      <c r="D43" s="278">
        <f>D$41/(1+$C$34/100)^D37</f>
        <v>137363257.1176438</v>
      </c>
      <c r="E43" s="278">
        <f>IF(E$46&lt;=$C$22,E$41/(1+$C$34/100)^E37,0)</f>
        <v>144111766.24063942</v>
      </c>
      <c r="F43" s="278">
        <f>IF(F$46&lt;=$C$22,F$41/(1+$C$34/100)^F37,0)</f>
        <v>151192040.08937082</v>
      </c>
      <c r="G43" s="278">
        <f t="shared" ref="G43:W43" si="5">IF(G$46&lt;=$C$22,G$41/(1+$C$34/100)^G37,0)</f>
        <v>158620388.43773633</v>
      </c>
      <c r="H43" s="278">
        <f t="shared" si="5"/>
        <v>166413922.85907292</v>
      </c>
      <c r="I43" s="278">
        <f t="shared" si="5"/>
        <v>0</v>
      </c>
      <c r="J43" s="278">
        <f t="shared" si="5"/>
        <v>0</v>
      </c>
      <c r="K43" s="278">
        <f t="shared" si="5"/>
        <v>0</v>
      </c>
      <c r="L43" s="278">
        <f t="shared" si="5"/>
        <v>0</v>
      </c>
      <c r="M43" s="278">
        <f t="shared" si="5"/>
        <v>0</v>
      </c>
      <c r="N43" s="278">
        <f t="shared" si="5"/>
        <v>0</v>
      </c>
      <c r="O43" s="278">
        <f t="shared" si="5"/>
        <v>0</v>
      </c>
      <c r="P43" s="278">
        <f t="shared" si="5"/>
        <v>0</v>
      </c>
      <c r="Q43" s="278">
        <f t="shared" si="5"/>
        <v>0</v>
      </c>
      <c r="R43" s="278">
        <f t="shared" si="5"/>
        <v>0</v>
      </c>
      <c r="S43" s="278">
        <f t="shared" si="5"/>
        <v>0</v>
      </c>
      <c r="T43" s="278">
        <f t="shared" si="5"/>
        <v>0</v>
      </c>
      <c r="U43" s="278">
        <f t="shared" si="5"/>
        <v>0</v>
      </c>
      <c r="V43" s="278">
        <f t="shared" si="5"/>
        <v>0</v>
      </c>
      <c r="W43" s="278">
        <f t="shared" si="5"/>
        <v>0</v>
      </c>
    </row>
    <row r="44" spans="1:23" ht="14.25">
      <c r="B44" s="249" t="s">
        <v>279</v>
      </c>
      <c r="C44" s="278">
        <f>+C43</f>
        <v>-124794610</v>
      </c>
      <c r="D44" s="278">
        <f>+C44+D43</f>
        <v>12568647.117643803</v>
      </c>
      <c r="E44" s="278">
        <f>IF(E$46&lt;=$C$22,+E43+D44,"")</f>
        <v>156680413.35828322</v>
      </c>
      <c r="F44" s="278">
        <f t="shared" ref="F44:T44" si="6">IF(F$46&lt;=$C$22,+F43+E44,"")</f>
        <v>307872453.44765401</v>
      </c>
      <c r="G44" s="278">
        <f t="shared" si="6"/>
        <v>466492841.88539034</v>
      </c>
      <c r="H44" s="278">
        <f t="shared" si="6"/>
        <v>632906764.74446321</v>
      </c>
      <c r="I44" s="278" t="str">
        <f t="shared" si="6"/>
        <v/>
      </c>
      <c r="J44" s="278" t="str">
        <f t="shared" si="6"/>
        <v/>
      </c>
      <c r="K44" s="278" t="str">
        <f t="shared" si="6"/>
        <v/>
      </c>
      <c r="L44" s="278" t="str">
        <f t="shared" si="6"/>
        <v/>
      </c>
      <c r="M44" s="278" t="str">
        <f t="shared" si="6"/>
        <v/>
      </c>
      <c r="N44" s="278" t="str">
        <f t="shared" si="6"/>
        <v/>
      </c>
      <c r="O44" s="278" t="str">
        <f t="shared" si="6"/>
        <v/>
      </c>
      <c r="P44" s="278" t="str">
        <f t="shared" si="6"/>
        <v/>
      </c>
      <c r="Q44" s="278" t="str">
        <f t="shared" si="6"/>
        <v/>
      </c>
      <c r="R44" s="278" t="str">
        <f t="shared" si="6"/>
        <v/>
      </c>
      <c r="S44" s="278" t="str">
        <f t="shared" si="6"/>
        <v/>
      </c>
      <c r="T44" s="278" t="str">
        <f t="shared" si="6"/>
        <v/>
      </c>
      <c r="U44" s="278">
        <f t="shared" ref="U44:W44" si="7">IF(U$46&lt;=$C$22,+U43+T44,0)</f>
        <v>0</v>
      </c>
      <c r="V44" s="278">
        <f t="shared" si="7"/>
        <v>0</v>
      </c>
      <c r="W44" s="278">
        <f t="shared" si="7"/>
        <v>0</v>
      </c>
    </row>
    <row r="45" spans="1:23" ht="13.5" thickBot="1">
      <c r="I45" s="250"/>
    </row>
    <row r="46" spans="1:23" ht="15.75" thickBot="1">
      <c r="B46" s="251" t="s">
        <v>280</v>
      </c>
      <c r="C46" s="252">
        <v>0</v>
      </c>
      <c r="D46" s="252">
        <v>1</v>
      </c>
      <c r="E46" s="252">
        <v>2</v>
      </c>
      <c r="F46" s="252">
        <v>3</v>
      </c>
      <c r="G46" s="252">
        <v>4</v>
      </c>
      <c r="H46" s="252">
        <v>5</v>
      </c>
      <c r="I46" s="252">
        <v>6</v>
      </c>
      <c r="J46" s="252">
        <v>7</v>
      </c>
      <c r="K46" s="252">
        <v>8</v>
      </c>
      <c r="L46" s="252">
        <v>9</v>
      </c>
      <c r="M46" s="252">
        <v>10</v>
      </c>
      <c r="N46" s="253">
        <v>11</v>
      </c>
      <c r="O46" s="244">
        <v>12</v>
      </c>
      <c r="P46" s="244">
        <v>13</v>
      </c>
      <c r="Q46" s="244">
        <v>14</v>
      </c>
      <c r="R46" s="244">
        <v>15</v>
      </c>
      <c r="S46" s="244">
        <v>16</v>
      </c>
      <c r="T46" s="244">
        <v>17</v>
      </c>
      <c r="U46" s="244">
        <v>18</v>
      </c>
      <c r="V46" s="244">
        <v>19</v>
      </c>
      <c r="W46" s="244">
        <v>20</v>
      </c>
    </row>
    <row r="47" spans="1:23" ht="13.5" thickBot="1">
      <c r="B47" s="245" t="s">
        <v>281</v>
      </c>
      <c r="C47" s="281">
        <f>C48*C49+C50*C51+C56*C57+C58</f>
        <v>0</v>
      </c>
      <c r="D47" s="281">
        <f>D48*D49+D50*D51+D52*D53+D54*D55+D56*D57+D58</f>
        <v>137868330.65362561</v>
      </c>
      <c r="E47" s="281">
        <f>IF(E$46&lt;=$C$22,E48*E49+E50*E51+E52*E53+E54*E55+E56*E57+E58,0)</f>
        <v>144761747.18630689</v>
      </c>
      <c r="F47" s="281">
        <f t="shared" ref="F47:W47" si="8">IF(F$46&lt;=$C$22,F48*F49+F50*F51+F52*F53+F54*F55+F56*F57+F58,0)</f>
        <v>151999834.54562226</v>
      </c>
      <c r="G47" s="254">
        <f t="shared" si="8"/>
        <v>159599826.27290338</v>
      </c>
      <c r="H47" s="254">
        <f t="shared" si="8"/>
        <v>167579817.58654857</v>
      </c>
      <c r="I47" s="254">
        <f t="shared" si="8"/>
        <v>0</v>
      </c>
      <c r="J47" s="254">
        <f t="shared" si="8"/>
        <v>0</v>
      </c>
      <c r="K47" s="254">
        <f t="shared" si="8"/>
        <v>0</v>
      </c>
      <c r="L47" s="254">
        <f t="shared" si="8"/>
        <v>0</v>
      </c>
      <c r="M47" s="254">
        <f t="shared" si="8"/>
        <v>0</v>
      </c>
      <c r="N47" s="254">
        <f t="shared" si="8"/>
        <v>0</v>
      </c>
      <c r="O47" s="254">
        <f t="shared" si="8"/>
        <v>0</v>
      </c>
      <c r="P47" s="254">
        <f t="shared" si="8"/>
        <v>0</v>
      </c>
      <c r="Q47" s="254">
        <f t="shared" si="8"/>
        <v>0</v>
      </c>
      <c r="R47" s="254">
        <f t="shared" si="8"/>
        <v>0</v>
      </c>
      <c r="S47" s="254">
        <f t="shared" si="8"/>
        <v>0</v>
      </c>
      <c r="T47" s="254">
        <f t="shared" si="8"/>
        <v>0</v>
      </c>
      <c r="U47" s="254">
        <f t="shared" si="8"/>
        <v>0</v>
      </c>
      <c r="V47" s="254">
        <f t="shared" si="8"/>
        <v>0</v>
      </c>
      <c r="W47" s="254">
        <f t="shared" si="8"/>
        <v>0</v>
      </c>
    </row>
    <row r="48" spans="1:23">
      <c r="A48" s="474" t="s">
        <v>2</v>
      </c>
      <c r="B48" s="256" t="str">
        <f>"Ahorros ("&amp;D27&amp;")"</f>
        <v>Ahorros (kWh)</v>
      </c>
      <c r="C48" s="282"/>
      <c r="D48" s="254">
        <f>IF(D46&gt;$C$22,0,$C$27)</f>
        <v>219421.44</v>
      </c>
      <c r="E48" s="254">
        <f>IF(E$46&lt;=$C$22,IF(E46&gt;$C$22,0,$C$27),0)</f>
        <v>219421.44</v>
      </c>
      <c r="F48" s="254">
        <f t="shared" ref="F48:W48" si="9">IF(F$46&lt;=$C$22,IF(F46&gt;$C$22,0,$C$27),0)</f>
        <v>219421.44</v>
      </c>
      <c r="G48" s="254">
        <f t="shared" si="9"/>
        <v>219421.44</v>
      </c>
      <c r="H48" s="254">
        <f t="shared" si="9"/>
        <v>219421.44</v>
      </c>
      <c r="I48" s="254">
        <f t="shared" si="9"/>
        <v>0</v>
      </c>
      <c r="J48" s="254">
        <f t="shared" si="9"/>
        <v>0</v>
      </c>
      <c r="K48" s="254">
        <f t="shared" si="9"/>
        <v>0</v>
      </c>
      <c r="L48" s="254">
        <f t="shared" si="9"/>
        <v>0</v>
      </c>
      <c r="M48" s="254">
        <f t="shared" si="9"/>
        <v>0</v>
      </c>
      <c r="N48" s="254">
        <f t="shared" si="9"/>
        <v>0</v>
      </c>
      <c r="O48" s="254">
        <f t="shared" si="9"/>
        <v>0</v>
      </c>
      <c r="P48" s="254">
        <f t="shared" si="9"/>
        <v>0</v>
      </c>
      <c r="Q48" s="254">
        <f t="shared" si="9"/>
        <v>0</v>
      </c>
      <c r="R48" s="254">
        <f t="shared" si="9"/>
        <v>0</v>
      </c>
      <c r="S48" s="254">
        <f t="shared" si="9"/>
        <v>0</v>
      </c>
      <c r="T48" s="254">
        <f t="shared" si="9"/>
        <v>0</v>
      </c>
      <c r="U48" s="254">
        <f t="shared" si="9"/>
        <v>0</v>
      </c>
      <c r="V48" s="254">
        <f t="shared" si="9"/>
        <v>0</v>
      </c>
      <c r="W48" s="254">
        <f t="shared" si="9"/>
        <v>0</v>
      </c>
    </row>
    <row r="49" spans="1:23" ht="13.5" thickBot="1">
      <c r="A49" s="475"/>
      <c r="B49" s="256" t="str">
        <f>"Tarifa (COP/"&amp;D27&amp;")"</f>
        <v>Tarifa (COP/kWh)</v>
      </c>
      <c r="C49" s="282"/>
      <c r="D49" s="281">
        <f>+D70</f>
        <v>628.32661500000006</v>
      </c>
      <c r="E49" s="281">
        <f>IF(E$46&lt;=$C$22,+E70,0)</f>
        <v>659.7429457500001</v>
      </c>
      <c r="F49" s="281">
        <f t="shared" ref="F49:W49" si="10">IF(F$46&lt;=$C$22,+F70,0)</f>
        <v>692.73009303750018</v>
      </c>
      <c r="G49" s="281">
        <f t="shared" si="10"/>
        <v>727.36659768937523</v>
      </c>
      <c r="H49" s="281">
        <f t="shared" si="10"/>
        <v>763.73492757384406</v>
      </c>
      <c r="I49" s="257">
        <f t="shared" si="10"/>
        <v>0</v>
      </c>
      <c r="J49" s="257">
        <f t="shared" si="10"/>
        <v>0</v>
      </c>
      <c r="K49" s="257">
        <f t="shared" si="10"/>
        <v>0</v>
      </c>
      <c r="L49" s="257">
        <f t="shared" si="10"/>
        <v>0</v>
      </c>
      <c r="M49" s="257">
        <f t="shared" si="10"/>
        <v>0</v>
      </c>
      <c r="N49" s="257">
        <f t="shared" si="10"/>
        <v>0</v>
      </c>
      <c r="O49" s="257">
        <f t="shared" si="10"/>
        <v>0</v>
      </c>
      <c r="P49" s="257">
        <f t="shared" si="10"/>
        <v>0</v>
      </c>
      <c r="Q49" s="257">
        <f t="shared" si="10"/>
        <v>0</v>
      </c>
      <c r="R49" s="257">
        <f t="shared" si="10"/>
        <v>0</v>
      </c>
      <c r="S49" s="257">
        <f t="shared" si="10"/>
        <v>0</v>
      </c>
      <c r="T49" s="257">
        <f t="shared" si="10"/>
        <v>0</v>
      </c>
      <c r="U49" s="257">
        <f t="shared" si="10"/>
        <v>0</v>
      </c>
      <c r="V49" s="257">
        <f t="shared" si="10"/>
        <v>0</v>
      </c>
      <c r="W49" s="257">
        <f t="shared" si="10"/>
        <v>0</v>
      </c>
    </row>
    <row r="50" spans="1:23">
      <c r="A50" s="474" t="s">
        <v>12</v>
      </c>
      <c r="B50" s="256" t="str">
        <f>"Ahorro ("&amp;D28&amp;")"</f>
        <v>Ahorro (m3)</v>
      </c>
      <c r="C50" s="282"/>
      <c r="D50" s="254">
        <f>IF(D46&gt;$C$22,0,$C$28)</f>
        <v>0</v>
      </c>
      <c r="E50" s="254">
        <f>IF(E$46&lt;=$C$22,IF(E46&gt;$C$22,0,$C$28),0)</f>
        <v>0</v>
      </c>
      <c r="F50" s="254">
        <f t="shared" ref="F50:W50" si="11">IF(F$46&lt;=$C$22,IF(F46&gt;$C$22,0,$C$28),0)</f>
        <v>0</v>
      </c>
      <c r="G50" s="254">
        <f t="shared" si="11"/>
        <v>0</v>
      </c>
      <c r="H50" s="254">
        <f t="shared" si="11"/>
        <v>0</v>
      </c>
      <c r="I50" s="254">
        <f t="shared" si="11"/>
        <v>0</v>
      </c>
      <c r="J50" s="254">
        <f t="shared" si="11"/>
        <v>0</v>
      </c>
      <c r="K50" s="254">
        <f t="shared" si="11"/>
        <v>0</v>
      </c>
      <c r="L50" s="254">
        <f t="shared" si="11"/>
        <v>0</v>
      </c>
      <c r="M50" s="254">
        <f t="shared" si="11"/>
        <v>0</v>
      </c>
      <c r="N50" s="254">
        <f t="shared" si="11"/>
        <v>0</v>
      </c>
      <c r="O50" s="254">
        <f t="shared" si="11"/>
        <v>0</v>
      </c>
      <c r="P50" s="254">
        <f t="shared" si="11"/>
        <v>0</v>
      </c>
      <c r="Q50" s="254">
        <f t="shared" si="11"/>
        <v>0</v>
      </c>
      <c r="R50" s="254">
        <f t="shared" si="11"/>
        <v>0</v>
      </c>
      <c r="S50" s="254">
        <f t="shared" si="11"/>
        <v>0</v>
      </c>
      <c r="T50" s="254">
        <f t="shared" si="11"/>
        <v>0</v>
      </c>
      <c r="U50" s="254">
        <f t="shared" si="11"/>
        <v>0</v>
      </c>
      <c r="V50" s="254">
        <f t="shared" si="11"/>
        <v>0</v>
      </c>
      <c r="W50" s="254">
        <f t="shared" si="11"/>
        <v>0</v>
      </c>
    </row>
    <row r="51" spans="1:23" ht="13.5" thickBot="1">
      <c r="A51" s="475"/>
      <c r="B51" s="256" t="str">
        <f>"Tarifa (COP/"&amp;D28&amp;")"</f>
        <v>Tarifa (COP/m3)</v>
      </c>
      <c r="C51" s="282"/>
      <c r="D51" s="281">
        <f>+D71</f>
        <v>2877.3135354831925</v>
      </c>
      <c r="E51" s="281">
        <f>IF(E$46&lt;=$C$22,E71,0)</f>
        <v>3021.1792122573524</v>
      </c>
      <c r="F51" s="281">
        <f t="shared" ref="F51:W51" si="12">IF(F$46&lt;=$C$22,F71,0)</f>
        <v>3172.2381728702203</v>
      </c>
      <c r="G51" s="281">
        <f t="shared" si="12"/>
        <v>3330.8500815137313</v>
      </c>
      <c r="H51" s="281">
        <f t="shared" si="12"/>
        <v>3497.3925855894181</v>
      </c>
      <c r="I51" s="258">
        <f t="shared" si="12"/>
        <v>0</v>
      </c>
      <c r="J51" s="258">
        <f t="shared" si="12"/>
        <v>0</v>
      </c>
      <c r="K51" s="258">
        <f t="shared" si="12"/>
        <v>0</v>
      </c>
      <c r="L51" s="258">
        <f t="shared" si="12"/>
        <v>0</v>
      </c>
      <c r="M51" s="258">
        <f t="shared" si="12"/>
        <v>0</v>
      </c>
      <c r="N51" s="258">
        <f t="shared" si="12"/>
        <v>0</v>
      </c>
      <c r="O51" s="258">
        <f t="shared" si="12"/>
        <v>0</v>
      </c>
      <c r="P51" s="258">
        <f t="shared" si="12"/>
        <v>0</v>
      </c>
      <c r="Q51" s="258">
        <f t="shared" si="12"/>
        <v>0</v>
      </c>
      <c r="R51" s="258">
        <f t="shared" si="12"/>
        <v>0</v>
      </c>
      <c r="S51" s="258">
        <f t="shared" si="12"/>
        <v>0</v>
      </c>
      <c r="T51" s="258">
        <f t="shared" si="12"/>
        <v>0</v>
      </c>
      <c r="U51" s="258">
        <f t="shared" si="12"/>
        <v>0</v>
      </c>
      <c r="V51" s="258">
        <f t="shared" si="12"/>
        <v>0</v>
      </c>
      <c r="W51" s="258">
        <f t="shared" si="12"/>
        <v>0</v>
      </c>
    </row>
    <row r="52" spans="1:23">
      <c r="A52" s="474" t="s">
        <v>4</v>
      </c>
      <c r="B52" s="256" t="str">
        <f>"Ahorro ("&amp;D29&amp;")"</f>
        <v>Ahorro (Gal)</v>
      </c>
      <c r="C52" s="282"/>
      <c r="D52" s="254">
        <f>IF(D48&gt;$C$22,0,$C$29)</f>
        <v>0</v>
      </c>
      <c r="E52" s="254">
        <f>IF(E$46&lt;=$C$22,IF(E48&gt;$C$22,0,$C$29),0)</f>
        <v>0</v>
      </c>
      <c r="F52" s="254">
        <f t="shared" ref="F52:W52" si="13">IF(F$46&lt;=$C$22,IF(F48&gt;$C$22,0,$C$29),0)</f>
        <v>0</v>
      </c>
      <c r="G52" s="254">
        <f t="shared" si="13"/>
        <v>0</v>
      </c>
      <c r="H52" s="254">
        <f t="shared" si="13"/>
        <v>0</v>
      </c>
      <c r="I52" s="254">
        <f t="shared" si="13"/>
        <v>0</v>
      </c>
      <c r="J52" s="254">
        <f t="shared" si="13"/>
        <v>0</v>
      </c>
      <c r="K52" s="254">
        <f t="shared" si="13"/>
        <v>0</v>
      </c>
      <c r="L52" s="254">
        <f t="shared" si="13"/>
        <v>0</v>
      </c>
      <c r="M52" s="254">
        <f t="shared" si="13"/>
        <v>0</v>
      </c>
      <c r="N52" s="254">
        <f t="shared" si="13"/>
        <v>0</v>
      </c>
      <c r="O52" s="254">
        <f t="shared" si="13"/>
        <v>0</v>
      </c>
      <c r="P52" s="254">
        <f t="shared" si="13"/>
        <v>0</v>
      </c>
      <c r="Q52" s="254">
        <f t="shared" si="13"/>
        <v>0</v>
      </c>
      <c r="R52" s="254">
        <f t="shared" si="13"/>
        <v>0</v>
      </c>
      <c r="S52" s="254">
        <f t="shared" si="13"/>
        <v>0</v>
      </c>
      <c r="T52" s="254">
        <f t="shared" si="13"/>
        <v>0</v>
      </c>
      <c r="U52" s="254">
        <f t="shared" si="13"/>
        <v>0</v>
      </c>
      <c r="V52" s="254">
        <f t="shared" si="13"/>
        <v>0</v>
      </c>
      <c r="W52" s="254">
        <f t="shared" si="13"/>
        <v>0</v>
      </c>
    </row>
    <row r="53" spans="1:23" ht="13.5" thickBot="1">
      <c r="A53" s="475"/>
      <c r="B53" s="256" t="str">
        <f>"Tarifa (COP/"&amp;D29&amp;")"</f>
        <v>Tarifa (COP/Gal)</v>
      </c>
      <c r="C53" s="282"/>
      <c r="D53" s="281">
        <f>+D72</f>
        <v>6549.9739969222646</v>
      </c>
      <c r="E53" s="281">
        <f>IF(E$46&lt;=$C$22,+E72,0)</f>
        <v>6877.4726967683782</v>
      </c>
      <c r="F53" s="281">
        <f t="shared" ref="F53:W53" si="14">IF(F$46&lt;=$C$22,+F72,0)</f>
        <v>7221.3463316067973</v>
      </c>
      <c r="G53" s="281">
        <f t="shared" si="14"/>
        <v>7582.4136481871374</v>
      </c>
      <c r="H53" s="281">
        <f t="shared" si="14"/>
        <v>7961.5343305964943</v>
      </c>
      <c r="I53" s="258">
        <f t="shared" si="14"/>
        <v>0</v>
      </c>
      <c r="J53" s="258">
        <f t="shared" si="14"/>
        <v>0</v>
      </c>
      <c r="K53" s="258">
        <f t="shared" si="14"/>
        <v>0</v>
      </c>
      <c r="L53" s="258">
        <f t="shared" si="14"/>
        <v>0</v>
      </c>
      <c r="M53" s="258">
        <f t="shared" si="14"/>
        <v>0</v>
      </c>
      <c r="N53" s="258">
        <f t="shared" si="14"/>
        <v>0</v>
      </c>
      <c r="O53" s="258">
        <f t="shared" si="14"/>
        <v>0</v>
      </c>
      <c r="P53" s="258">
        <f t="shared" si="14"/>
        <v>0</v>
      </c>
      <c r="Q53" s="258">
        <f t="shared" si="14"/>
        <v>0</v>
      </c>
      <c r="R53" s="258">
        <f t="shared" si="14"/>
        <v>0</v>
      </c>
      <c r="S53" s="258">
        <f t="shared" si="14"/>
        <v>0</v>
      </c>
      <c r="T53" s="258">
        <f t="shared" si="14"/>
        <v>0</v>
      </c>
      <c r="U53" s="258">
        <f t="shared" si="14"/>
        <v>0</v>
      </c>
      <c r="V53" s="258">
        <f t="shared" si="14"/>
        <v>0</v>
      </c>
      <c r="W53" s="258">
        <f t="shared" si="14"/>
        <v>0</v>
      </c>
    </row>
    <row r="54" spans="1:23">
      <c r="A54" s="474" t="s">
        <v>17</v>
      </c>
      <c r="B54" s="256" t="str">
        <f>"Ahorro ("&amp;D30&amp;")"</f>
        <v>Ahorro (NA)</v>
      </c>
      <c r="C54" s="282"/>
      <c r="D54" s="254">
        <f>IF(D50&gt;$C$22,0,$C$30)</f>
        <v>0</v>
      </c>
      <c r="E54" s="254">
        <f>IF(E$46&lt;=$C$22,IF(E50&gt;$C$22,0,$C$30),0)</f>
        <v>0</v>
      </c>
      <c r="F54" s="254">
        <f t="shared" ref="F54:W54" si="15">IF(F$46&lt;=$C$22,IF(F50&gt;$C$22,0,$C$30),0)</f>
        <v>0</v>
      </c>
      <c r="G54" s="254">
        <f t="shared" si="15"/>
        <v>0</v>
      </c>
      <c r="H54" s="254">
        <f t="shared" si="15"/>
        <v>0</v>
      </c>
      <c r="I54" s="254">
        <f t="shared" si="15"/>
        <v>0</v>
      </c>
      <c r="J54" s="254">
        <f t="shared" si="15"/>
        <v>0</v>
      </c>
      <c r="K54" s="254">
        <f t="shared" si="15"/>
        <v>0</v>
      </c>
      <c r="L54" s="254">
        <f t="shared" si="15"/>
        <v>0</v>
      </c>
      <c r="M54" s="254">
        <f t="shared" si="15"/>
        <v>0</v>
      </c>
      <c r="N54" s="254">
        <f t="shared" si="15"/>
        <v>0</v>
      </c>
      <c r="O54" s="254">
        <f t="shared" si="15"/>
        <v>0</v>
      </c>
      <c r="P54" s="254">
        <f t="shared" si="15"/>
        <v>0</v>
      </c>
      <c r="Q54" s="254">
        <f t="shared" si="15"/>
        <v>0</v>
      </c>
      <c r="R54" s="254">
        <f t="shared" si="15"/>
        <v>0</v>
      </c>
      <c r="S54" s="254">
        <f t="shared" si="15"/>
        <v>0</v>
      </c>
      <c r="T54" s="254">
        <f t="shared" si="15"/>
        <v>0</v>
      </c>
      <c r="U54" s="254">
        <f t="shared" si="15"/>
        <v>0</v>
      </c>
      <c r="V54" s="254">
        <f t="shared" si="15"/>
        <v>0</v>
      </c>
      <c r="W54" s="254">
        <f t="shared" si="15"/>
        <v>0</v>
      </c>
    </row>
    <row r="55" spans="1:23" ht="13.5" thickBot="1">
      <c r="A55" s="475"/>
      <c r="B55" s="256" t="str">
        <f>"Tarifa (COP/"&amp;D31&amp;")"</f>
        <v>Tarifa (COP/m3)</v>
      </c>
      <c r="C55" s="282"/>
      <c r="D55" s="281">
        <f>+D73</f>
        <v>0</v>
      </c>
      <c r="E55" s="281">
        <f>IF(E$46&lt;=$C$22,E73,0)</f>
        <v>0</v>
      </c>
      <c r="F55" s="281">
        <f t="shared" ref="F55:W55" si="16">IF(F$46&lt;=$C$22,F73,0)</f>
        <v>0</v>
      </c>
      <c r="G55" s="281">
        <f t="shared" si="16"/>
        <v>0</v>
      </c>
      <c r="H55" s="281">
        <f t="shared" si="16"/>
        <v>0</v>
      </c>
      <c r="I55" s="258">
        <f t="shared" si="16"/>
        <v>0</v>
      </c>
      <c r="J55" s="258">
        <f t="shared" si="16"/>
        <v>0</v>
      </c>
      <c r="K55" s="258">
        <f t="shared" si="16"/>
        <v>0</v>
      </c>
      <c r="L55" s="258">
        <f t="shared" si="16"/>
        <v>0</v>
      </c>
      <c r="M55" s="258">
        <f t="shared" si="16"/>
        <v>0</v>
      </c>
      <c r="N55" s="258">
        <f t="shared" si="16"/>
        <v>0</v>
      </c>
      <c r="O55" s="258">
        <f t="shared" si="16"/>
        <v>0</v>
      </c>
      <c r="P55" s="258">
        <f t="shared" si="16"/>
        <v>0</v>
      </c>
      <c r="Q55" s="258">
        <f t="shared" si="16"/>
        <v>0</v>
      </c>
      <c r="R55" s="258">
        <f t="shared" si="16"/>
        <v>0</v>
      </c>
      <c r="S55" s="258">
        <f t="shared" si="16"/>
        <v>0</v>
      </c>
      <c r="T55" s="258">
        <f t="shared" si="16"/>
        <v>0</v>
      </c>
      <c r="U55" s="258">
        <f t="shared" si="16"/>
        <v>0</v>
      </c>
      <c r="V55" s="258">
        <f t="shared" si="16"/>
        <v>0</v>
      </c>
      <c r="W55" s="258">
        <f t="shared" si="16"/>
        <v>0</v>
      </c>
    </row>
    <row r="56" spans="1:23">
      <c r="A56" s="474" t="s">
        <v>24</v>
      </c>
      <c r="B56" s="256" t="str">
        <f>"Ahorro ("&amp;D31&amp;")"</f>
        <v>Ahorro (m3)</v>
      </c>
      <c r="C56" s="282"/>
      <c r="D56" s="254">
        <f>IF(D46&gt;$C$22,0,$C$31)</f>
        <v>0</v>
      </c>
      <c r="E56" s="254">
        <f>IF(E$46&lt;=$C$22,IF(E46&gt;$C$22,0,$C$31),0)</f>
        <v>0</v>
      </c>
      <c r="F56" s="254">
        <f t="shared" ref="F56:W56" si="17">IF(F$46&lt;=$C$22,IF(F46&gt;$C$22,0,$C$31),0)</f>
        <v>0</v>
      </c>
      <c r="G56" s="254">
        <f t="shared" si="17"/>
        <v>0</v>
      </c>
      <c r="H56" s="254">
        <f t="shared" si="17"/>
        <v>0</v>
      </c>
      <c r="I56" s="254">
        <f t="shared" si="17"/>
        <v>0</v>
      </c>
      <c r="J56" s="254">
        <f t="shared" si="17"/>
        <v>0</v>
      </c>
      <c r="K56" s="254">
        <f t="shared" si="17"/>
        <v>0</v>
      </c>
      <c r="L56" s="254">
        <f t="shared" si="17"/>
        <v>0</v>
      </c>
      <c r="M56" s="254">
        <f t="shared" si="17"/>
        <v>0</v>
      </c>
      <c r="N56" s="254">
        <f t="shared" si="17"/>
        <v>0</v>
      </c>
      <c r="O56" s="254">
        <f t="shared" si="17"/>
        <v>0</v>
      </c>
      <c r="P56" s="254">
        <f t="shared" si="17"/>
        <v>0</v>
      </c>
      <c r="Q56" s="254">
        <f t="shared" si="17"/>
        <v>0</v>
      </c>
      <c r="R56" s="254">
        <f t="shared" si="17"/>
        <v>0</v>
      </c>
      <c r="S56" s="254">
        <f t="shared" si="17"/>
        <v>0</v>
      </c>
      <c r="T56" s="254">
        <f t="shared" si="17"/>
        <v>0</v>
      </c>
      <c r="U56" s="254">
        <f t="shared" si="17"/>
        <v>0</v>
      </c>
      <c r="V56" s="254">
        <f t="shared" si="17"/>
        <v>0</v>
      </c>
      <c r="W56" s="254">
        <f t="shared" si="17"/>
        <v>0</v>
      </c>
    </row>
    <row r="57" spans="1:23" ht="13.5" thickBot="1">
      <c r="A57" s="475"/>
      <c r="B57" s="256" t="str">
        <f>"Tarifa (COP/"&amp;D31&amp;")"</f>
        <v>Tarifa (COP/m3)</v>
      </c>
      <c r="C57" s="282"/>
      <c r="D57" s="281">
        <f>+D74</f>
        <v>0</v>
      </c>
      <c r="E57" s="281">
        <f>IF(E$46&lt;=$C$22,+E74,0)</f>
        <v>0</v>
      </c>
      <c r="F57" s="281">
        <f t="shared" ref="F57:W57" si="18">IF(F$46&lt;=$C$22,+F74,0)</f>
        <v>0</v>
      </c>
      <c r="G57" s="281">
        <f t="shared" si="18"/>
        <v>0</v>
      </c>
      <c r="H57" s="281">
        <f t="shared" si="18"/>
        <v>0</v>
      </c>
      <c r="I57" s="257">
        <f t="shared" si="18"/>
        <v>0</v>
      </c>
      <c r="J57" s="257">
        <f t="shared" si="18"/>
        <v>0</v>
      </c>
      <c r="K57" s="257">
        <f t="shared" si="18"/>
        <v>0</v>
      </c>
      <c r="L57" s="257">
        <f t="shared" si="18"/>
        <v>0</v>
      </c>
      <c r="M57" s="257">
        <f t="shared" si="18"/>
        <v>0</v>
      </c>
      <c r="N57" s="257">
        <f t="shared" si="18"/>
        <v>0</v>
      </c>
      <c r="O57" s="257">
        <f t="shared" si="18"/>
        <v>0</v>
      </c>
      <c r="P57" s="257">
        <f t="shared" si="18"/>
        <v>0</v>
      </c>
      <c r="Q57" s="257">
        <f t="shared" si="18"/>
        <v>0</v>
      </c>
      <c r="R57" s="257">
        <f t="shared" si="18"/>
        <v>0</v>
      </c>
      <c r="S57" s="257">
        <f t="shared" si="18"/>
        <v>0</v>
      </c>
      <c r="T57" s="257">
        <f t="shared" si="18"/>
        <v>0</v>
      </c>
      <c r="U57" s="257">
        <f t="shared" si="18"/>
        <v>0</v>
      </c>
      <c r="V57" s="257">
        <f t="shared" si="18"/>
        <v>0</v>
      </c>
      <c r="W57" s="257">
        <f t="shared" si="18"/>
        <v>0</v>
      </c>
    </row>
    <row r="58" spans="1:23" ht="19.5" customHeight="1">
      <c r="A58" s="255" t="s">
        <v>6</v>
      </c>
      <c r="B58" s="256" t="str">
        <f>"Ahorro ("&amp;D32&amp;")"</f>
        <v>Ahorro (COP)</v>
      </c>
      <c r="C58" s="282"/>
      <c r="D58" s="281">
        <f>+C32</f>
        <v>0</v>
      </c>
      <c r="E58" s="281">
        <f>IF(E$46&lt;=$C$22,IF(E46&gt;$C$22,0,$C$32*(1+Mantenimiento!E9)),0)</f>
        <v>0</v>
      </c>
      <c r="F58" s="281">
        <f>IF(F$46&lt;=$C$22,IF(F46&gt;$C$22,0,$C$32*(1+Mantenimiento!F9)),0)</f>
        <v>0</v>
      </c>
      <c r="G58" s="281">
        <f>IF(G$46&lt;=$C$22,IF(G46&gt;$C$22,0,$C$32*(1+Mantenimiento!G9)),0)</f>
        <v>0</v>
      </c>
      <c r="H58" s="281">
        <f>IF(H$46&lt;=$C$22,IF(H46&gt;$C$22,0,$C$32*(1+Mantenimiento!H9)),0)</f>
        <v>0</v>
      </c>
      <c r="I58" s="254">
        <f>IF(I$46&lt;=$C$22,IF(I46&gt;$C$22,0,$C$32*(1+Mantenimiento!I9)),0)</f>
        <v>0</v>
      </c>
      <c r="J58" s="254">
        <f>IF(J$46&lt;=$C$22,IF(J46&gt;$C$22,0,$C$32*(1+Mantenimiento!J9)),0)</f>
        <v>0</v>
      </c>
      <c r="K58" s="254">
        <f>IF(K$46&lt;=$C$22,IF(K46&gt;$C$22,0,$C$32*(1+Mantenimiento!K9)),0)</f>
        <v>0</v>
      </c>
      <c r="L58" s="254">
        <f>IF(L$46&lt;=$C$22,IF(L46&gt;$C$22,0,$C$32*(1+Mantenimiento!L9)),0)</f>
        <v>0</v>
      </c>
      <c r="M58" s="254">
        <f>IF(M$46&lt;=$C$22,IF(M46&gt;$C$22,0,$C$32*(1+Mantenimiento!M9)),0)</f>
        <v>0</v>
      </c>
      <c r="N58" s="254">
        <f>IF(N$46&lt;=$C$22,IF(N46&gt;$C$22,0,$C$32*(1+Mantenimiento!N9)),0)</f>
        <v>0</v>
      </c>
      <c r="O58" s="254">
        <f>IF(O$46&lt;=$C$22,IF(O46&gt;$C$22,0,$C$32*(1+Mantenimiento!O9)),0)</f>
        <v>0</v>
      </c>
      <c r="P58" s="254">
        <f>IF(P$46&lt;=$C$22,IF(P46&gt;$C$22,0,$C$32*(1+Mantenimiento!P9)),0)</f>
        <v>0</v>
      </c>
      <c r="Q58" s="254">
        <f>IF(Q$46&lt;=$C$22,IF(Q46&gt;$C$22,0,$C$32*(1+Mantenimiento!Q9)),0)</f>
        <v>0</v>
      </c>
      <c r="R58" s="254">
        <f>IF(R$46&lt;=$C$22,IF(R46&gt;$C$22,0,$C$32*(1+Mantenimiento!R9)),0)</f>
        <v>0</v>
      </c>
      <c r="S58" s="254">
        <f>IF(S$46&lt;=$C$22,IF(S46&gt;$C$22,0,$C$32*(1+Mantenimiento!S9)),0)</f>
        <v>0</v>
      </c>
      <c r="T58" s="254">
        <f>IF(T$46&lt;=$C$22,IF(T46&gt;$C$22,0,$C$32*(1+Mantenimiento!T9)),0)</f>
        <v>0</v>
      </c>
      <c r="U58" s="254">
        <f>IF(U$46&lt;=$C$22,IF(U46&gt;$C$22,0,$C$32*(1+Mantenimiento!U9)),0)</f>
        <v>0</v>
      </c>
      <c r="V58" s="254">
        <f>IF(V$46&lt;=$C$22,IF(V46&gt;$C$22,0,$C$32*(1+Mantenimiento!V9)),0)</f>
        <v>0</v>
      </c>
      <c r="W58" s="254">
        <f>IF(W$46&lt;=$C$22,IF(W46&gt;$C$22,0,$C$32*(1+Mantenimiento!W9)),0)</f>
        <v>0</v>
      </c>
    </row>
    <row r="59" spans="1:23">
      <c r="B59" s="245" t="s">
        <v>302</v>
      </c>
      <c r="C59" s="281"/>
      <c r="D59" s="281"/>
      <c r="E59" s="281"/>
      <c r="F59" s="281"/>
      <c r="G59" s="254"/>
      <c r="H59" s="254"/>
      <c r="I59" s="254"/>
      <c r="J59" s="254"/>
      <c r="K59" s="254"/>
      <c r="L59" s="254"/>
      <c r="M59" s="254"/>
      <c r="N59" s="254"/>
      <c r="O59" s="254"/>
      <c r="P59" s="254"/>
      <c r="Q59" s="254"/>
      <c r="R59" s="254"/>
      <c r="S59" s="254"/>
      <c r="T59" s="254"/>
      <c r="U59" s="254"/>
      <c r="V59" s="254"/>
      <c r="W59" s="254"/>
    </row>
    <row r="60" spans="1:23">
      <c r="B60" s="259" t="s">
        <v>274</v>
      </c>
      <c r="C60" s="283">
        <f>C47-C59</f>
        <v>0</v>
      </c>
      <c r="D60" s="283">
        <f>D47-D59</f>
        <v>137868330.65362561</v>
      </c>
      <c r="E60" s="283">
        <f>IF(E$46&lt;=$C$22,E47-E59,0)</f>
        <v>144761747.18630689</v>
      </c>
      <c r="F60" s="283">
        <f t="shared" ref="F60:W60" si="19">IF(F$46&lt;=$C$22,F47-F59,0)</f>
        <v>151999834.54562226</v>
      </c>
      <c r="G60" s="283">
        <f t="shared" si="19"/>
        <v>159599826.27290338</v>
      </c>
      <c r="H60" s="283">
        <f t="shared" si="19"/>
        <v>167579817.58654857</v>
      </c>
      <c r="I60" s="260">
        <f t="shared" si="19"/>
        <v>0</v>
      </c>
      <c r="J60" s="260">
        <f t="shared" si="19"/>
        <v>0</v>
      </c>
      <c r="K60" s="260">
        <f t="shared" si="19"/>
        <v>0</v>
      </c>
      <c r="L60" s="260">
        <f t="shared" si="19"/>
        <v>0</v>
      </c>
      <c r="M60" s="260">
        <f t="shared" si="19"/>
        <v>0</v>
      </c>
      <c r="N60" s="260">
        <f t="shared" si="19"/>
        <v>0</v>
      </c>
      <c r="O60" s="260">
        <f t="shared" si="19"/>
        <v>0</v>
      </c>
      <c r="P60" s="260">
        <f t="shared" si="19"/>
        <v>0</v>
      </c>
      <c r="Q60" s="260">
        <f t="shared" si="19"/>
        <v>0</v>
      </c>
      <c r="R60" s="260">
        <f t="shared" si="19"/>
        <v>0</v>
      </c>
      <c r="S60" s="260">
        <f t="shared" si="19"/>
        <v>0</v>
      </c>
      <c r="T60" s="260">
        <f t="shared" si="19"/>
        <v>0</v>
      </c>
      <c r="U60" s="260">
        <f t="shared" si="19"/>
        <v>0</v>
      </c>
      <c r="V60" s="260">
        <f t="shared" si="19"/>
        <v>0</v>
      </c>
      <c r="W60" s="260">
        <f t="shared" si="19"/>
        <v>0</v>
      </c>
    </row>
    <row r="61" spans="1:23">
      <c r="B61" s="245" t="s">
        <v>282</v>
      </c>
      <c r="C61" s="281">
        <v>0</v>
      </c>
      <c r="D61" s="281">
        <f>IF(D46&gt;$C$23,0,$C$38/$C$23)</f>
        <v>-24958922</v>
      </c>
      <c r="E61" s="281">
        <f>IF(E$46&lt;=$C$22,IF(E46&gt;$C$23,0,$C$38/$C$23),0)</f>
        <v>-24958922</v>
      </c>
      <c r="F61" s="281">
        <f t="shared" ref="F61:W61" si="20">IF(F$46&lt;=$C$22,IF(F46&gt;$C$23,0,$C$38/$C$23),0)</f>
        <v>-24958922</v>
      </c>
      <c r="G61" s="281">
        <f t="shared" si="20"/>
        <v>-24958922</v>
      </c>
      <c r="H61" s="281">
        <f t="shared" si="20"/>
        <v>-24958922</v>
      </c>
      <c r="I61" s="254">
        <f t="shared" si="20"/>
        <v>0</v>
      </c>
      <c r="J61" s="254">
        <f t="shared" si="20"/>
        <v>0</v>
      </c>
      <c r="K61" s="254">
        <f t="shared" si="20"/>
        <v>0</v>
      </c>
      <c r="L61" s="254">
        <f t="shared" si="20"/>
        <v>0</v>
      </c>
      <c r="M61" s="254">
        <f t="shared" si="20"/>
        <v>0</v>
      </c>
      <c r="N61" s="254">
        <f t="shared" si="20"/>
        <v>0</v>
      </c>
      <c r="O61" s="254">
        <f t="shared" si="20"/>
        <v>0</v>
      </c>
      <c r="P61" s="254">
        <f t="shared" si="20"/>
        <v>0</v>
      </c>
      <c r="Q61" s="254">
        <f t="shared" si="20"/>
        <v>0</v>
      </c>
      <c r="R61" s="254">
        <f t="shared" si="20"/>
        <v>0</v>
      </c>
      <c r="S61" s="254">
        <f t="shared" si="20"/>
        <v>0</v>
      </c>
      <c r="T61" s="254">
        <f t="shared" si="20"/>
        <v>0</v>
      </c>
      <c r="U61" s="254">
        <f t="shared" si="20"/>
        <v>0</v>
      </c>
      <c r="V61" s="254">
        <f t="shared" si="20"/>
        <v>0</v>
      </c>
      <c r="W61" s="254">
        <f t="shared" si="20"/>
        <v>0</v>
      </c>
    </row>
    <row r="62" spans="1:23">
      <c r="B62" s="259" t="s">
        <v>283</v>
      </c>
      <c r="C62" s="283">
        <f>C60+C61</f>
        <v>0</v>
      </c>
      <c r="D62" s="283">
        <f>D60+D61</f>
        <v>112909408.65362561</v>
      </c>
      <c r="E62" s="283">
        <f>IF(E$46&lt;=$C$22,E60+E61,0)</f>
        <v>119802825.18630689</v>
      </c>
      <c r="F62" s="283">
        <f t="shared" ref="F62:W62" si="21">IF(F$46&lt;=$C$22,F60+F61,0)</f>
        <v>127040912.54562226</v>
      </c>
      <c r="G62" s="283">
        <f t="shared" si="21"/>
        <v>134640904.27290338</v>
      </c>
      <c r="H62" s="283">
        <f t="shared" si="21"/>
        <v>142620895.58654857</v>
      </c>
      <c r="I62" s="260">
        <f t="shared" si="21"/>
        <v>0</v>
      </c>
      <c r="J62" s="260">
        <f t="shared" si="21"/>
        <v>0</v>
      </c>
      <c r="K62" s="260">
        <f t="shared" si="21"/>
        <v>0</v>
      </c>
      <c r="L62" s="260">
        <f t="shared" si="21"/>
        <v>0</v>
      </c>
      <c r="M62" s="260">
        <f t="shared" si="21"/>
        <v>0</v>
      </c>
      <c r="N62" s="260">
        <f t="shared" si="21"/>
        <v>0</v>
      </c>
      <c r="O62" s="260">
        <f t="shared" si="21"/>
        <v>0</v>
      </c>
      <c r="P62" s="260">
        <f t="shared" si="21"/>
        <v>0</v>
      </c>
      <c r="Q62" s="260">
        <f t="shared" si="21"/>
        <v>0</v>
      </c>
      <c r="R62" s="260">
        <f t="shared" si="21"/>
        <v>0</v>
      </c>
      <c r="S62" s="260">
        <f t="shared" si="21"/>
        <v>0</v>
      </c>
      <c r="T62" s="260">
        <f t="shared" si="21"/>
        <v>0</v>
      </c>
      <c r="U62" s="260">
        <f t="shared" si="21"/>
        <v>0</v>
      </c>
      <c r="V62" s="260">
        <f t="shared" si="21"/>
        <v>0</v>
      </c>
      <c r="W62" s="260">
        <f t="shared" si="21"/>
        <v>0</v>
      </c>
    </row>
    <row r="63" spans="1:23">
      <c r="B63" s="245" t="s">
        <v>275</v>
      </c>
      <c r="C63" s="281">
        <f>-IF(C69&gt;0,C62*$C$33/100,0)</f>
        <v>0</v>
      </c>
      <c r="D63" s="281">
        <f>-D62*$C$33/100</f>
        <v>-395182.93028768955</v>
      </c>
      <c r="E63" s="281">
        <f>IF(E$46&lt;=$C$22,-E62*$C$33/100,0)</f>
        <v>-419309.88815207407</v>
      </c>
      <c r="F63" s="281">
        <f t="shared" ref="F63:W63" si="22">IF(F$46&lt;=$C$22,-F62*$C$33/100,0)</f>
        <v>-444643.19390967785</v>
      </c>
      <c r="G63" s="281">
        <f t="shared" si="22"/>
        <v>-471243.1649551618</v>
      </c>
      <c r="H63" s="281">
        <f t="shared" si="22"/>
        <v>-499173.13455291995</v>
      </c>
      <c r="I63" s="254">
        <f t="shared" si="22"/>
        <v>0</v>
      </c>
      <c r="J63" s="254">
        <f t="shared" si="22"/>
        <v>0</v>
      </c>
      <c r="K63" s="254">
        <f t="shared" si="22"/>
        <v>0</v>
      </c>
      <c r="L63" s="254">
        <f t="shared" si="22"/>
        <v>0</v>
      </c>
      <c r="M63" s="254">
        <f t="shared" si="22"/>
        <v>0</v>
      </c>
      <c r="N63" s="254">
        <f t="shared" si="22"/>
        <v>0</v>
      </c>
      <c r="O63" s="254">
        <f t="shared" si="22"/>
        <v>0</v>
      </c>
      <c r="P63" s="254">
        <f t="shared" si="22"/>
        <v>0</v>
      </c>
      <c r="Q63" s="254">
        <f t="shared" si="22"/>
        <v>0</v>
      </c>
      <c r="R63" s="254">
        <f t="shared" si="22"/>
        <v>0</v>
      </c>
      <c r="S63" s="254">
        <f t="shared" si="22"/>
        <v>0</v>
      </c>
      <c r="T63" s="254">
        <f t="shared" si="22"/>
        <v>0</v>
      </c>
      <c r="U63" s="254">
        <f t="shared" si="22"/>
        <v>0</v>
      </c>
      <c r="V63" s="254">
        <f t="shared" si="22"/>
        <v>0</v>
      </c>
      <c r="W63" s="254">
        <f t="shared" si="22"/>
        <v>0</v>
      </c>
    </row>
    <row r="64" spans="1:23" ht="18" customHeight="1">
      <c r="B64" s="247" t="s">
        <v>284</v>
      </c>
      <c r="C64" s="284">
        <f>C62+C63</f>
        <v>0</v>
      </c>
      <c r="D64" s="284">
        <f>D62+D63</f>
        <v>112514225.72333792</v>
      </c>
      <c r="E64" s="284">
        <f>IF(E$46&lt;=$C$22,E62+E63,0)</f>
        <v>119383515.29815482</v>
      </c>
      <c r="F64" s="284">
        <f t="shared" ref="F64:W64" si="23">IF(F$46&lt;=$C$22,F62+F63,0)</f>
        <v>126596269.35171258</v>
      </c>
      <c r="G64" s="284">
        <f t="shared" si="23"/>
        <v>134169661.10794821</v>
      </c>
      <c r="H64" s="284">
        <f t="shared" si="23"/>
        <v>142121722.45199564</v>
      </c>
      <c r="I64" s="261">
        <f t="shared" si="23"/>
        <v>0</v>
      </c>
      <c r="J64" s="261">
        <f t="shared" si="23"/>
        <v>0</v>
      </c>
      <c r="K64" s="261">
        <f t="shared" si="23"/>
        <v>0</v>
      </c>
      <c r="L64" s="261">
        <f t="shared" si="23"/>
        <v>0</v>
      </c>
      <c r="M64" s="261">
        <f t="shared" si="23"/>
        <v>0</v>
      </c>
      <c r="N64" s="261">
        <f t="shared" si="23"/>
        <v>0</v>
      </c>
      <c r="O64" s="261">
        <f t="shared" si="23"/>
        <v>0</v>
      </c>
      <c r="P64" s="261">
        <f t="shared" si="23"/>
        <v>0</v>
      </c>
      <c r="Q64" s="261">
        <f t="shared" si="23"/>
        <v>0</v>
      </c>
      <c r="R64" s="261">
        <f t="shared" si="23"/>
        <v>0</v>
      </c>
      <c r="S64" s="261">
        <f t="shared" si="23"/>
        <v>0</v>
      </c>
      <c r="T64" s="261">
        <f t="shared" si="23"/>
        <v>0</v>
      </c>
      <c r="U64" s="261">
        <f t="shared" si="23"/>
        <v>0</v>
      </c>
      <c r="V64" s="261">
        <f t="shared" si="23"/>
        <v>0</v>
      </c>
      <c r="W64" s="261">
        <f t="shared" si="23"/>
        <v>0</v>
      </c>
    </row>
    <row r="65" spans="1:23">
      <c r="B65" s="245" t="s">
        <v>282</v>
      </c>
      <c r="C65" s="281">
        <v>0</v>
      </c>
      <c r="D65" s="281">
        <f>ABS(IF(D46&gt;$C$23,0,$C$38/$C$23))</f>
        <v>24958922</v>
      </c>
      <c r="E65" s="281">
        <f>IF(E$46&lt;=$C$22,ABS(IF(E46&gt;$C$23,0,$C$38/$C$23)),0)</f>
        <v>24958922</v>
      </c>
      <c r="F65" s="281">
        <f t="shared" ref="F65:W65" si="24">IF(F$46&lt;=$C$22,ABS(IF(F46&gt;$C$23,0,$C$38/$C$23)),0)</f>
        <v>24958922</v>
      </c>
      <c r="G65" s="281">
        <f t="shared" si="24"/>
        <v>24958922</v>
      </c>
      <c r="H65" s="281">
        <f t="shared" si="24"/>
        <v>24958922</v>
      </c>
      <c r="I65" s="254">
        <f t="shared" si="24"/>
        <v>0</v>
      </c>
      <c r="J65" s="254">
        <f t="shared" si="24"/>
        <v>0</v>
      </c>
      <c r="K65" s="254">
        <f t="shared" si="24"/>
        <v>0</v>
      </c>
      <c r="L65" s="254">
        <f t="shared" si="24"/>
        <v>0</v>
      </c>
      <c r="M65" s="254">
        <f t="shared" si="24"/>
        <v>0</v>
      </c>
      <c r="N65" s="254">
        <f t="shared" si="24"/>
        <v>0</v>
      </c>
      <c r="O65" s="254">
        <f t="shared" si="24"/>
        <v>0</v>
      </c>
      <c r="P65" s="254">
        <f t="shared" si="24"/>
        <v>0</v>
      </c>
      <c r="Q65" s="254">
        <f t="shared" si="24"/>
        <v>0</v>
      </c>
      <c r="R65" s="254">
        <f t="shared" si="24"/>
        <v>0</v>
      </c>
      <c r="S65" s="254">
        <f t="shared" si="24"/>
        <v>0</v>
      </c>
      <c r="T65" s="254">
        <f t="shared" si="24"/>
        <v>0</v>
      </c>
      <c r="U65" s="254">
        <f t="shared" si="24"/>
        <v>0</v>
      </c>
      <c r="V65" s="254">
        <f t="shared" si="24"/>
        <v>0</v>
      </c>
      <c r="W65" s="254">
        <f t="shared" si="24"/>
        <v>0</v>
      </c>
    </row>
    <row r="66" spans="1:23" ht="15">
      <c r="B66" s="247" t="s">
        <v>285</v>
      </c>
      <c r="C66" s="284">
        <f>+C64+C65</f>
        <v>0</v>
      </c>
      <c r="D66" s="284">
        <f>+D64+D65</f>
        <v>137473147.72333792</v>
      </c>
      <c r="E66" s="284">
        <f>IF(E$46&lt;=$C$22,E64+E65,0)</f>
        <v>144342437.29815483</v>
      </c>
      <c r="F66" s="284">
        <f t="shared" ref="F66:W66" si="25">IF(F$46&lt;=$C$22,F64+F65,0)</f>
        <v>151555191.35171258</v>
      </c>
      <c r="G66" s="284">
        <f t="shared" si="25"/>
        <v>159128583.10794821</v>
      </c>
      <c r="H66" s="284">
        <f t="shared" si="25"/>
        <v>167080644.45199564</v>
      </c>
      <c r="I66" s="261">
        <f t="shared" si="25"/>
        <v>0</v>
      </c>
      <c r="J66" s="261">
        <f t="shared" si="25"/>
        <v>0</v>
      </c>
      <c r="K66" s="261">
        <f t="shared" si="25"/>
        <v>0</v>
      </c>
      <c r="L66" s="261">
        <f t="shared" si="25"/>
        <v>0</v>
      </c>
      <c r="M66" s="261">
        <f t="shared" si="25"/>
        <v>0</v>
      </c>
      <c r="N66" s="261">
        <f t="shared" si="25"/>
        <v>0</v>
      </c>
      <c r="O66" s="261">
        <f t="shared" si="25"/>
        <v>0</v>
      </c>
      <c r="P66" s="261">
        <f t="shared" si="25"/>
        <v>0</v>
      </c>
      <c r="Q66" s="261">
        <f t="shared" si="25"/>
        <v>0</v>
      </c>
      <c r="R66" s="261">
        <f t="shared" si="25"/>
        <v>0</v>
      </c>
      <c r="S66" s="261">
        <f t="shared" si="25"/>
        <v>0</v>
      </c>
      <c r="T66" s="261">
        <f t="shared" si="25"/>
        <v>0</v>
      </c>
      <c r="U66" s="261">
        <f t="shared" si="25"/>
        <v>0</v>
      </c>
      <c r="V66" s="261">
        <f t="shared" si="25"/>
        <v>0</v>
      </c>
      <c r="W66" s="261">
        <f t="shared" si="25"/>
        <v>0</v>
      </c>
    </row>
    <row r="68" spans="1:23" ht="15">
      <c r="B68" s="262" t="s">
        <v>286</v>
      </c>
      <c r="C68" s="288"/>
      <c r="D68" s="288"/>
      <c r="E68" s="288"/>
      <c r="F68" s="288"/>
    </row>
    <row r="69" spans="1:23" ht="15.75" thickBot="1">
      <c r="B69" s="251" t="s">
        <v>287</v>
      </c>
      <c r="C69" s="252">
        <v>0</v>
      </c>
      <c r="D69" s="252">
        <v>1</v>
      </c>
      <c r="E69" s="252">
        <v>2</v>
      </c>
      <c r="F69" s="252">
        <v>3</v>
      </c>
      <c r="G69" s="252">
        <v>4</v>
      </c>
      <c r="H69" s="252">
        <v>5</v>
      </c>
      <c r="I69" s="252">
        <v>6</v>
      </c>
      <c r="J69" s="252">
        <v>7</v>
      </c>
      <c r="K69" s="252">
        <v>8</v>
      </c>
      <c r="L69" s="252">
        <v>9</v>
      </c>
      <c r="M69" s="252">
        <v>10</v>
      </c>
      <c r="N69" s="252">
        <v>11</v>
      </c>
      <c r="O69" s="252">
        <v>12</v>
      </c>
      <c r="P69" s="252">
        <v>13</v>
      </c>
      <c r="Q69" s="252">
        <v>14</v>
      </c>
      <c r="R69" s="252">
        <v>15</v>
      </c>
      <c r="S69" s="252">
        <v>16</v>
      </c>
      <c r="T69" s="252">
        <v>17</v>
      </c>
      <c r="U69" s="252">
        <v>18</v>
      </c>
      <c r="V69" s="252">
        <v>19</v>
      </c>
      <c r="W69" s="252">
        <v>20</v>
      </c>
    </row>
    <row r="70" spans="1:23" ht="13.5" thickBot="1">
      <c r="A70" s="255" t="str">
        <f>+D27</f>
        <v>kWh</v>
      </c>
      <c r="B70" s="245" t="str">
        <f>"Electricidad"&amp;" (COP/"&amp;A70&amp;")"</f>
        <v>Electricidad (COP/kWh)</v>
      </c>
      <c r="C70" s="285">
        <f>+Precios_tarifas!C9</f>
        <v>598.40629999999999</v>
      </c>
      <c r="D70" s="285">
        <f>+C70*(1+Precios_tarifas!$D$2)</f>
        <v>628.32661500000006</v>
      </c>
      <c r="E70" s="285">
        <f>+D70*(1+Precios_tarifas!$D$2)</f>
        <v>659.7429457500001</v>
      </c>
      <c r="F70" s="285">
        <f>IF(F$69&lt;=$C$22,+E70*(1+Precios_tarifas!$D$2),0)</f>
        <v>692.73009303750018</v>
      </c>
      <c r="G70" s="264">
        <f>IF(G$69&lt;=$C$22,+F70*(1+Precios_tarifas!$D$2),0)</f>
        <v>727.36659768937523</v>
      </c>
      <c r="H70" s="264">
        <f>IF(H$69&lt;=$C$22,+G70*(1+Precios_tarifas!$D$2),0)</f>
        <v>763.73492757384406</v>
      </c>
      <c r="I70" s="264">
        <f>IF(I$69&lt;=$C$22,+H70*(1+Precios_tarifas!$D$2),0)</f>
        <v>0</v>
      </c>
      <c r="J70" s="264">
        <f>IF(J$69&lt;=$C$22,+I70*(1+Precios_tarifas!$D$2),0)</f>
        <v>0</v>
      </c>
      <c r="K70" s="264">
        <f>IF(K$69&lt;=$C$22,+J70*(1+Precios_tarifas!$D$2),0)</f>
        <v>0</v>
      </c>
      <c r="L70" s="264">
        <f>IF(L$69&lt;=$C$22,+K70*(1+Precios_tarifas!$D$2),0)</f>
        <v>0</v>
      </c>
      <c r="M70" s="264">
        <f>IF(M$69&lt;=$C$22,+L70*(1+Precios_tarifas!$D$2),0)</f>
        <v>0</v>
      </c>
      <c r="N70" s="264">
        <f>IF(N$69&lt;=$C$22,+M70*(1+Precios_tarifas!$D$2),0)</f>
        <v>0</v>
      </c>
      <c r="O70" s="264">
        <f>IF(O$69&lt;=$C$22,+N70*(1+Precios_tarifas!$D$2),0)</f>
        <v>0</v>
      </c>
      <c r="P70" s="264">
        <f>IF(P$69&lt;=$C$22,+O70*(1+Precios_tarifas!$D$2),0)</f>
        <v>0</v>
      </c>
      <c r="Q70" s="264">
        <f>IF(Q$69&lt;=$C$22,+P70*(1+Precios_tarifas!$D$2),0)</f>
        <v>0</v>
      </c>
      <c r="R70" s="264">
        <f>IF(R$69&lt;=$C$22,+Q70*(1+Precios_tarifas!$D$2),0)</f>
        <v>0</v>
      </c>
      <c r="S70" s="264">
        <f>IF(S$69&lt;=$C$22,+R70*(1+Precios_tarifas!$D$2),0)</f>
        <v>0</v>
      </c>
      <c r="T70" s="264">
        <f>IF(T$69&lt;=$C$22,+S70*(1+Precios_tarifas!$D$2),0)</f>
        <v>0</v>
      </c>
      <c r="U70" s="264">
        <f>IF(U$69&lt;=$C$22,+T70*(1+Precios_tarifas!$D$2),0)</f>
        <v>0</v>
      </c>
      <c r="V70" s="264">
        <f>IF(V$69&lt;=$C$22,+U70*(1+Precios_tarifas!$D$2),0)</f>
        <v>0</v>
      </c>
      <c r="W70" s="264">
        <f>IF(W$69&lt;=$C$22,+V70*(1+Precios_tarifas!$D$2),0)</f>
        <v>0</v>
      </c>
    </row>
    <row r="71" spans="1:23" ht="13.5" thickBot="1">
      <c r="A71" s="255" t="str">
        <f>+D28</f>
        <v>m3</v>
      </c>
      <c r="B71" s="245" t="str">
        <f>"Gas"&amp;" (COP/"&amp;A71&amp;")"</f>
        <v>Gas (COP/m3)</v>
      </c>
      <c r="C71" s="285">
        <f>Precios_tarifas!C10</f>
        <v>2740.2986052220881</v>
      </c>
      <c r="D71" s="285">
        <f>+C71*(1+Precios_tarifas!$D$2)</f>
        <v>2877.3135354831925</v>
      </c>
      <c r="E71" s="285">
        <f>+D71*(1+Precios_tarifas!$D$2)</f>
        <v>3021.1792122573524</v>
      </c>
      <c r="F71" s="285">
        <f>IF(F$69&lt;=$C$22,+E71*(1+Precios_tarifas!$D$3),0)</f>
        <v>3172.2381728702203</v>
      </c>
      <c r="G71" s="264">
        <f>IF(G$69&lt;=$C$22,+F71*(1+Precios_tarifas!$D$3),0)</f>
        <v>3330.8500815137313</v>
      </c>
      <c r="H71" s="264">
        <f>IF(H$69&lt;=$C$22,+G71*(1+Precios_tarifas!$D$3),0)</f>
        <v>3497.3925855894181</v>
      </c>
      <c r="I71" s="264">
        <f>IF(I$69&lt;=$C$22,+H71*(1+Precios_tarifas!$D$3),0)</f>
        <v>0</v>
      </c>
      <c r="J71" s="264">
        <f>IF(J$69&lt;=$C$22,+I71*(1+Precios_tarifas!$D$3),0)</f>
        <v>0</v>
      </c>
      <c r="K71" s="264">
        <f>IF(K$69&lt;=$C$22,+J71*(1+Precios_tarifas!$D$3),0)</f>
        <v>0</v>
      </c>
      <c r="L71" s="264">
        <f>IF(L$69&lt;=$C$22,+K71*(1+Precios_tarifas!$D$3),0)</f>
        <v>0</v>
      </c>
      <c r="M71" s="264">
        <f>IF(M$69&lt;=$C$22,+L71*(1+Precios_tarifas!$D$3),0)</f>
        <v>0</v>
      </c>
      <c r="N71" s="264">
        <f>IF(N$69&lt;=$C$22,+M71*(1+Precios_tarifas!$D$3),0)</f>
        <v>0</v>
      </c>
      <c r="O71" s="264">
        <f>IF(O$69&lt;=$C$22,+N71*(1+Precios_tarifas!$D$3),0)</f>
        <v>0</v>
      </c>
      <c r="P71" s="264">
        <f>IF(P$69&lt;=$C$22,+O71*(1+Precios_tarifas!$D$3),0)</f>
        <v>0</v>
      </c>
      <c r="Q71" s="264">
        <f>IF(Q$69&lt;=$C$22,+P71*(1+Precios_tarifas!$D$3),0)</f>
        <v>0</v>
      </c>
      <c r="R71" s="264">
        <f>IF(R$69&lt;=$C$22,+Q71*(1+Precios_tarifas!$D$3),0)</f>
        <v>0</v>
      </c>
      <c r="S71" s="264">
        <f>IF(S$69&lt;=$C$22,+R71*(1+Precios_tarifas!$D$3),0)</f>
        <v>0</v>
      </c>
      <c r="T71" s="264">
        <f>IF(T$69&lt;=$C$22,+S71*(1+Precios_tarifas!$D$3),0)</f>
        <v>0</v>
      </c>
      <c r="U71" s="264">
        <f>IF(U$69&lt;=$C$22,+T71*(1+Precios_tarifas!$D$3),0)</f>
        <v>0</v>
      </c>
      <c r="V71" s="264">
        <f>IF(V$69&lt;=$C$22,+U71*(1+Precios_tarifas!$D$3),0)</f>
        <v>0</v>
      </c>
      <c r="W71" s="264">
        <f>IF(W$69&lt;=$C$22,+V71*(1+Precios_tarifas!$D$3),0)</f>
        <v>0</v>
      </c>
    </row>
    <row r="72" spans="1:23">
      <c r="A72" s="255" t="str">
        <f>+D31</f>
        <v>m3</v>
      </c>
      <c r="B72" s="245" t="str">
        <f>"Agua"&amp;" (COP/"&amp;A72&amp;")"</f>
        <v>Agua (COP/m3)</v>
      </c>
      <c r="C72" s="285">
        <f>+Precios_tarifas!C11</f>
        <v>6238.0704732592994</v>
      </c>
      <c r="D72" s="285">
        <f>+C72*(1+Precios_tarifas!$D$2)</f>
        <v>6549.9739969222646</v>
      </c>
      <c r="E72" s="285">
        <f>+D72*(1+Precios_tarifas!$D$2)</f>
        <v>6877.4726967683782</v>
      </c>
      <c r="F72" s="285">
        <f>IF(F$69&lt;=$C$22,+E72*(1+Precios_tarifas!$D$4),0)</f>
        <v>7221.3463316067973</v>
      </c>
      <c r="G72" s="264">
        <f>IF(G$69&lt;=$C$22,+F72*(1+Precios_tarifas!$D$4),0)</f>
        <v>7582.4136481871374</v>
      </c>
      <c r="H72" s="264">
        <f>IF(H$69&lt;=$C$22,+G72*(1+Precios_tarifas!$D$4),0)</f>
        <v>7961.5343305964943</v>
      </c>
      <c r="I72" s="264">
        <f>IF(I$69&lt;=$C$22,+H72*(1+Precios_tarifas!$D$4),0)</f>
        <v>0</v>
      </c>
      <c r="J72" s="264">
        <f>IF(J$69&lt;=$C$22,+I72*(1+Precios_tarifas!$D$4),0)</f>
        <v>0</v>
      </c>
      <c r="K72" s="264">
        <f>IF(K$69&lt;=$C$22,+J72*(1+Precios_tarifas!$D$4),0)</f>
        <v>0</v>
      </c>
      <c r="L72" s="264">
        <f>IF(L$69&lt;=$C$22,+K72*(1+Precios_tarifas!$D$4),0)</f>
        <v>0</v>
      </c>
      <c r="M72" s="264">
        <f>IF(M$69&lt;=$C$22,+L72*(1+Precios_tarifas!$D$4),0)</f>
        <v>0</v>
      </c>
      <c r="N72" s="264">
        <f>IF(N$69&lt;=$C$22,+M72*(1+Precios_tarifas!$D$4),0)</f>
        <v>0</v>
      </c>
      <c r="O72" s="264">
        <f>IF(O$69&lt;=$C$22,+N72*(1+Precios_tarifas!$D$4),0)</f>
        <v>0</v>
      </c>
      <c r="P72" s="264">
        <f>IF(P$69&lt;=$C$22,+O72*(1+Precios_tarifas!$D$4),0)</f>
        <v>0</v>
      </c>
      <c r="Q72" s="264">
        <f>IF(Q$69&lt;=$C$22,+P72*(1+Precios_tarifas!$D$4),0)</f>
        <v>0</v>
      </c>
      <c r="R72" s="264">
        <f>IF(R$69&lt;=$C$22,+Q72*(1+Precios_tarifas!$D$4),0)</f>
        <v>0</v>
      </c>
      <c r="S72" s="264">
        <f>IF(S$69&lt;=$C$22,+R72*(1+Precios_tarifas!$D$4),0)</f>
        <v>0</v>
      </c>
      <c r="T72" s="264">
        <f>IF(T$69&lt;=$C$22,+S72*(1+Precios_tarifas!$D$4),0)</f>
        <v>0</v>
      </c>
      <c r="U72" s="264">
        <f>IF(U$69&lt;=$C$22,+T72*(1+Precios_tarifas!$D$4),0)</f>
        <v>0</v>
      </c>
      <c r="V72" s="264">
        <f>IF(V$69&lt;=$C$22,+U72*(1+Precios_tarifas!$D$4),0)</f>
        <v>0</v>
      </c>
      <c r="W72" s="264">
        <f>IF(W$69&lt;=$C$22,+V72*(1+Precios_tarifas!$D$4),0)</f>
        <v>0</v>
      </c>
    </row>
    <row r="73" spans="1:23">
      <c r="A73" s="271"/>
      <c r="B73" s="271"/>
      <c r="C73" s="271"/>
      <c r="F73" s="271"/>
      <c r="G73" s="271"/>
      <c r="H73" s="271"/>
      <c r="I73" s="271"/>
      <c r="J73" s="271"/>
      <c r="K73" s="271"/>
      <c r="L73" s="271"/>
      <c r="M73" s="271"/>
      <c r="N73" s="271"/>
      <c r="O73" s="271"/>
      <c r="P73" s="271"/>
      <c r="Q73" s="271"/>
      <c r="R73" s="271"/>
      <c r="S73" s="271"/>
      <c r="T73" s="271"/>
      <c r="U73" s="271"/>
      <c r="V73" s="271"/>
      <c r="W73" s="271"/>
    </row>
    <row r="74" spans="1:23">
      <c r="A74" s="271"/>
      <c r="B74" s="271"/>
      <c r="C74" s="271"/>
      <c r="F74" s="271"/>
      <c r="G74" s="271"/>
      <c r="H74" s="271"/>
      <c r="I74" s="271"/>
      <c r="J74" s="271"/>
      <c r="K74" s="271"/>
      <c r="L74" s="271"/>
      <c r="M74" s="271"/>
      <c r="N74" s="271"/>
      <c r="O74" s="271"/>
      <c r="P74" s="271"/>
      <c r="Q74" s="271"/>
      <c r="R74" s="271"/>
      <c r="S74" s="271"/>
      <c r="T74" s="271"/>
      <c r="U74" s="271"/>
      <c r="V74" s="271"/>
      <c r="W74" s="271"/>
    </row>
    <row r="75" spans="1:23">
      <c r="C75" s="241"/>
      <c r="D75" s="241"/>
      <c r="E75" s="241"/>
      <c r="F75" s="265"/>
      <c r="G75" s="265"/>
      <c r="H75" s="265"/>
      <c r="I75" s="266"/>
      <c r="J75" s="266"/>
      <c r="K75" s="266"/>
      <c r="L75" s="266"/>
      <c r="M75" s="266"/>
      <c r="N75" s="266"/>
      <c r="O75" s="266"/>
      <c r="P75" s="266"/>
      <c r="Q75" s="266"/>
      <c r="R75" s="266"/>
      <c r="S75" s="266"/>
      <c r="T75" s="266"/>
      <c r="U75" s="266"/>
      <c r="V75" s="266"/>
      <c r="W75" s="266"/>
    </row>
    <row r="76" spans="1:23" ht="15.75" thickBot="1">
      <c r="B76" s="262" t="s">
        <v>288</v>
      </c>
      <c r="C76" s="263"/>
      <c r="D76" s="263"/>
      <c r="E76" s="263"/>
      <c r="F76" s="267"/>
      <c r="G76" s="267"/>
      <c r="H76" s="267"/>
      <c r="I76" s="267"/>
      <c r="J76" s="268"/>
      <c r="K76" s="268"/>
      <c r="L76" s="268"/>
      <c r="M76" s="268"/>
      <c r="N76" s="268"/>
      <c r="O76" s="268"/>
      <c r="P76" s="268"/>
      <c r="Q76" s="268"/>
      <c r="R76" s="268"/>
      <c r="S76" s="268"/>
      <c r="T76" s="268"/>
      <c r="U76" s="268"/>
      <c r="V76" s="268"/>
      <c r="W76" s="268"/>
    </row>
    <row r="77" spans="1:23" ht="13.5" thickBot="1">
      <c r="B77" s="451" t="s">
        <v>311</v>
      </c>
      <c r="C77" s="452"/>
      <c r="D77" s="452"/>
      <c r="E77" s="453"/>
      <c r="F77" s="267"/>
      <c r="G77" s="267"/>
      <c r="H77" s="267"/>
      <c r="J77" s="268"/>
      <c r="K77" s="268"/>
      <c r="L77" s="268"/>
      <c r="M77" s="268"/>
      <c r="N77" s="268"/>
      <c r="O77" s="268"/>
      <c r="P77" s="268"/>
      <c r="Q77" s="268"/>
      <c r="R77" s="268"/>
      <c r="S77" s="268"/>
      <c r="T77" s="268"/>
      <c r="U77" s="268"/>
      <c r="V77" s="268"/>
      <c r="W77" s="268"/>
    </row>
    <row r="78" spans="1:23" ht="13.5" thickBot="1">
      <c r="B78" s="269" t="s">
        <v>290</v>
      </c>
      <c r="C78" s="346">
        <v>8790</v>
      </c>
      <c r="D78" s="269">
        <v>887</v>
      </c>
      <c r="E78" s="347">
        <v>7796730</v>
      </c>
      <c r="F78" s="268"/>
      <c r="G78" s="268"/>
      <c r="H78" s="268"/>
      <c r="I78" s="268"/>
      <c r="J78" s="268"/>
      <c r="K78" s="268"/>
      <c r="L78" s="268"/>
      <c r="M78" s="268"/>
      <c r="N78" s="268"/>
      <c r="O78" s="268"/>
      <c r="P78" s="268"/>
      <c r="Q78" s="268"/>
      <c r="R78" s="268"/>
      <c r="S78" s="268"/>
      <c r="T78" s="268"/>
      <c r="U78" s="268"/>
      <c r="V78" s="268"/>
      <c r="W78" s="268"/>
    </row>
    <row r="79" spans="1:23" ht="13.5" thickBot="1">
      <c r="B79" s="193" t="s">
        <v>303</v>
      </c>
      <c r="C79" s="346">
        <v>10790</v>
      </c>
      <c r="D79" s="194">
        <v>72</v>
      </c>
      <c r="E79" s="347">
        <v>776880</v>
      </c>
      <c r="F79" s="268"/>
      <c r="G79" s="268"/>
      <c r="H79" s="268"/>
      <c r="I79" s="268"/>
      <c r="J79" s="268"/>
      <c r="K79" s="268"/>
      <c r="L79" s="268"/>
      <c r="M79" s="268"/>
      <c r="N79" s="268"/>
      <c r="O79" s="268"/>
      <c r="P79" s="268"/>
      <c r="Q79" s="268"/>
      <c r="R79" s="268"/>
      <c r="S79" s="268"/>
      <c r="T79" s="268"/>
      <c r="U79" s="268"/>
      <c r="V79" s="268"/>
      <c r="W79" s="268"/>
    </row>
    <row r="80" spans="1:23" ht="13.5" thickBot="1">
      <c r="B80" s="193" t="s">
        <v>291</v>
      </c>
      <c r="C80" s="346">
        <v>61000</v>
      </c>
      <c r="D80" s="194">
        <v>701</v>
      </c>
      <c r="E80" s="347">
        <v>42761000</v>
      </c>
      <c r="F80" s="268"/>
      <c r="G80" s="268"/>
      <c r="H80" s="268"/>
      <c r="I80" s="268"/>
      <c r="J80" s="268"/>
      <c r="K80" s="268"/>
      <c r="L80" s="268"/>
      <c r="M80" s="268"/>
      <c r="N80" s="268"/>
      <c r="O80" s="268"/>
      <c r="P80" s="268"/>
      <c r="Q80" s="268"/>
      <c r="R80" s="268"/>
      <c r="S80" s="268"/>
      <c r="T80" s="268"/>
      <c r="U80" s="268"/>
      <c r="V80" s="268"/>
      <c r="W80" s="268"/>
    </row>
    <row r="81" spans="1:23" ht="13.5" thickBot="1">
      <c r="B81" s="193" t="s">
        <v>310</v>
      </c>
      <c r="C81" s="346">
        <v>32000</v>
      </c>
      <c r="D81" s="194">
        <v>18</v>
      </c>
      <c r="E81" s="347">
        <v>576000</v>
      </c>
      <c r="F81" s="268"/>
      <c r="G81" s="268"/>
      <c r="H81" s="268"/>
      <c r="I81" s="268"/>
      <c r="J81" s="268"/>
      <c r="K81" s="268"/>
      <c r="L81" s="268"/>
      <c r="M81" s="268"/>
      <c r="N81" s="268"/>
      <c r="O81" s="268"/>
      <c r="P81" s="268"/>
      <c r="Q81" s="268"/>
      <c r="R81" s="268"/>
      <c r="S81" s="268"/>
      <c r="T81" s="268"/>
      <c r="U81" s="268"/>
      <c r="V81" s="268"/>
      <c r="W81" s="268"/>
    </row>
    <row r="82" spans="1:23">
      <c r="F82" s="268"/>
      <c r="G82" s="268"/>
      <c r="H82" s="268"/>
      <c r="I82" s="268"/>
      <c r="J82" s="268"/>
      <c r="K82" s="268"/>
      <c r="L82" s="268"/>
      <c r="M82" s="268"/>
      <c r="N82" s="268"/>
      <c r="O82" s="268"/>
      <c r="P82" s="268"/>
      <c r="Q82" s="268"/>
      <c r="R82" s="268"/>
      <c r="S82" s="268"/>
      <c r="T82" s="268"/>
      <c r="U82" s="268"/>
      <c r="V82" s="268"/>
      <c r="W82" s="268"/>
    </row>
    <row r="83" spans="1:23" ht="13.5" thickBot="1">
      <c r="A83" s="486" t="s">
        <v>304</v>
      </c>
      <c r="B83" s="486"/>
      <c r="C83" s="486"/>
      <c r="D83" s="486"/>
      <c r="E83" s="486"/>
      <c r="F83" s="486"/>
      <c r="G83" s="486"/>
      <c r="H83" s="486"/>
      <c r="I83" s="486"/>
    </row>
    <row r="84" spans="1:23" ht="15.75">
      <c r="A84" s="493" t="s">
        <v>345</v>
      </c>
      <c r="B84" s="496" t="s">
        <v>293</v>
      </c>
      <c r="C84" s="499" t="s">
        <v>346</v>
      </c>
      <c r="D84" s="502" t="s">
        <v>347</v>
      </c>
      <c r="E84" s="503"/>
      <c r="F84" s="502" t="s">
        <v>348</v>
      </c>
      <c r="G84" s="503"/>
      <c r="H84" s="384" t="s">
        <v>96</v>
      </c>
      <c r="I84" s="384" t="s">
        <v>350</v>
      </c>
      <c r="J84" s="359"/>
    </row>
    <row r="85" spans="1:23" ht="16.5" thickBot="1">
      <c r="A85" s="494"/>
      <c r="B85" s="497"/>
      <c r="C85" s="500"/>
      <c r="D85" s="504"/>
      <c r="E85" s="505"/>
      <c r="F85" s="504"/>
      <c r="G85" s="505"/>
      <c r="H85" s="385" t="s">
        <v>349</v>
      </c>
      <c r="I85" s="385" t="s">
        <v>96</v>
      </c>
      <c r="J85" s="359"/>
    </row>
    <row r="86" spans="1:23" ht="16.5" thickBot="1">
      <c r="A86" s="495"/>
      <c r="B86" s="498"/>
      <c r="C86" s="501"/>
      <c r="D86" s="385" t="s">
        <v>351</v>
      </c>
      <c r="E86" s="385" t="s">
        <v>352</v>
      </c>
      <c r="F86" s="385" t="s">
        <v>351</v>
      </c>
      <c r="G86" s="385" t="s">
        <v>352</v>
      </c>
      <c r="H86" s="386" t="s">
        <v>353</v>
      </c>
      <c r="I86" s="386" t="s">
        <v>353</v>
      </c>
      <c r="J86" s="359"/>
    </row>
    <row r="87" spans="1:23" ht="16.5" thickBot="1">
      <c r="A87" s="487" t="s">
        <v>354</v>
      </c>
      <c r="B87" s="488"/>
      <c r="C87" s="488"/>
      <c r="D87" s="488"/>
      <c r="E87" s="488"/>
      <c r="F87" s="488"/>
      <c r="G87" s="488"/>
      <c r="H87" s="488"/>
      <c r="I87" s="489"/>
      <c r="J87" s="359"/>
    </row>
    <row r="88" spans="1:23" ht="16.5" thickBot="1">
      <c r="A88" s="360" t="s">
        <v>355</v>
      </c>
      <c r="B88" s="361">
        <v>1</v>
      </c>
      <c r="C88" s="361" t="s">
        <v>338</v>
      </c>
      <c r="D88" s="362">
        <v>5169895</v>
      </c>
      <c r="E88" s="362">
        <v>5169895</v>
      </c>
      <c r="F88" s="363">
        <v>22192905</v>
      </c>
      <c r="G88" s="363">
        <v>22192905</v>
      </c>
      <c r="H88" s="363">
        <v>27362800</v>
      </c>
      <c r="I88" s="387">
        <v>27362800</v>
      </c>
      <c r="J88" s="359"/>
    </row>
    <row r="89" spans="1:23" ht="16.5" thickBot="1">
      <c r="A89" s="364" t="s">
        <v>356</v>
      </c>
      <c r="B89" s="365">
        <v>1</v>
      </c>
      <c r="C89" s="365" t="s">
        <v>338</v>
      </c>
      <c r="D89" s="366">
        <v>5169895</v>
      </c>
      <c r="E89" s="366">
        <v>5169895</v>
      </c>
      <c r="F89" s="367">
        <v>4069305</v>
      </c>
      <c r="G89" s="367">
        <v>4069305</v>
      </c>
      <c r="H89" s="367">
        <v>9239200</v>
      </c>
      <c r="I89" s="367">
        <v>9239200</v>
      </c>
      <c r="J89" s="359"/>
    </row>
    <row r="90" spans="1:23" ht="26.25" thickBot="1">
      <c r="A90" s="364" t="s">
        <v>357</v>
      </c>
      <c r="B90" s="365">
        <v>701</v>
      </c>
      <c r="C90" s="365" t="s">
        <v>358</v>
      </c>
      <c r="D90" s="368" t="s">
        <v>359</v>
      </c>
      <c r="E90" s="368" t="s">
        <v>359</v>
      </c>
      <c r="F90" s="367">
        <v>1500</v>
      </c>
      <c r="G90" s="367">
        <v>1051500</v>
      </c>
      <c r="H90" s="367">
        <v>1500</v>
      </c>
      <c r="I90" s="367">
        <v>1051500</v>
      </c>
      <c r="J90" s="359"/>
    </row>
    <row r="91" spans="1:23" ht="26.25" thickBot="1">
      <c r="A91" s="364" t="s">
        <v>360</v>
      </c>
      <c r="B91" s="365">
        <v>701</v>
      </c>
      <c r="C91" s="365" t="s">
        <v>358</v>
      </c>
      <c r="D91" s="368" t="s">
        <v>359</v>
      </c>
      <c r="E91" s="368" t="s">
        <v>359</v>
      </c>
      <c r="F91" s="367">
        <v>4500</v>
      </c>
      <c r="G91" s="367">
        <v>3154500</v>
      </c>
      <c r="H91" s="367">
        <v>4500</v>
      </c>
      <c r="I91" s="367">
        <v>3154500</v>
      </c>
      <c r="J91" s="359"/>
    </row>
    <row r="92" spans="1:23" ht="26.25" thickBot="1">
      <c r="A92" s="364" t="s">
        <v>361</v>
      </c>
      <c r="B92" s="365">
        <v>959</v>
      </c>
      <c r="C92" s="365" t="s">
        <v>358</v>
      </c>
      <c r="D92" s="368" t="s">
        <v>359</v>
      </c>
      <c r="E92" s="368" t="s">
        <v>359</v>
      </c>
      <c r="F92" s="367">
        <v>1800</v>
      </c>
      <c r="G92" s="367">
        <v>1726200</v>
      </c>
      <c r="H92" s="367">
        <v>1800</v>
      </c>
      <c r="I92" s="367">
        <v>1726200</v>
      </c>
      <c r="J92" s="359"/>
    </row>
    <row r="93" spans="1:23" ht="26.25" thickBot="1">
      <c r="A93" s="364" t="s">
        <v>362</v>
      </c>
      <c r="B93" s="365">
        <v>959</v>
      </c>
      <c r="C93" s="365" t="s">
        <v>358</v>
      </c>
      <c r="D93" s="368" t="s">
        <v>359</v>
      </c>
      <c r="E93" s="368" t="s">
        <v>359</v>
      </c>
      <c r="F93" s="367">
        <v>10080</v>
      </c>
      <c r="G93" s="367">
        <v>9666720</v>
      </c>
      <c r="H93" s="367">
        <v>10080</v>
      </c>
      <c r="I93" s="367">
        <v>9666720</v>
      </c>
      <c r="J93" s="359"/>
    </row>
    <row r="94" spans="1:23" ht="16.5" thickBot="1">
      <c r="A94" s="364" t="s">
        <v>363</v>
      </c>
      <c r="B94" s="365">
        <v>959</v>
      </c>
      <c r="C94" s="365" t="s">
        <v>358</v>
      </c>
      <c r="D94" s="368" t="s">
        <v>359</v>
      </c>
      <c r="E94" s="368" t="s">
        <v>359</v>
      </c>
      <c r="F94" s="367">
        <v>2520</v>
      </c>
      <c r="G94" s="367">
        <v>2416680</v>
      </c>
      <c r="H94" s="367">
        <v>2520</v>
      </c>
      <c r="I94" s="367">
        <v>2416680</v>
      </c>
      <c r="J94" s="359"/>
    </row>
    <row r="95" spans="1:23" ht="26.25" thickBot="1">
      <c r="A95" s="364" t="s">
        <v>364</v>
      </c>
      <c r="B95" s="365">
        <v>18</v>
      </c>
      <c r="C95" s="365" t="s">
        <v>358</v>
      </c>
      <c r="D95" s="368" t="s">
        <v>359</v>
      </c>
      <c r="E95" s="368" t="s">
        <v>359</v>
      </c>
      <c r="F95" s="367">
        <v>6000</v>
      </c>
      <c r="G95" s="367">
        <v>108000</v>
      </c>
      <c r="H95" s="367">
        <v>6000</v>
      </c>
      <c r="I95" s="367">
        <v>108000</v>
      </c>
      <c r="J95" s="359"/>
    </row>
    <row r="96" spans="1:23" ht="16.5" thickBot="1">
      <c r="A96" s="490" t="s">
        <v>365</v>
      </c>
      <c r="B96" s="491"/>
      <c r="C96" s="491"/>
      <c r="D96" s="491"/>
      <c r="E96" s="491"/>
      <c r="F96" s="491"/>
      <c r="G96" s="491"/>
      <c r="H96" s="491"/>
      <c r="I96" s="492"/>
      <c r="J96" s="359"/>
    </row>
    <row r="97" spans="1:10" ht="16.5" thickBot="1">
      <c r="A97" s="369" t="s">
        <v>366</v>
      </c>
      <c r="B97" s="361">
        <v>1</v>
      </c>
      <c r="C97" s="361" t="s">
        <v>367</v>
      </c>
      <c r="D97" s="362">
        <v>11669280</v>
      </c>
      <c r="E97" s="362">
        <v>11669280</v>
      </c>
      <c r="F97" s="362">
        <v>8715120</v>
      </c>
      <c r="G97" s="362">
        <v>8715120</v>
      </c>
      <c r="H97" s="362">
        <v>20384400</v>
      </c>
      <c r="I97" s="387">
        <v>20384400</v>
      </c>
      <c r="J97" s="359"/>
    </row>
    <row r="98" spans="1:10" ht="26.25" thickBot="1">
      <c r="A98" s="364" t="s">
        <v>368</v>
      </c>
      <c r="B98" s="365">
        <v>701</v>
      </c>
      <c r="C98" s="365" t="s">
        <v>338</v>
      </c>
      <c r="D98" s="366">
        <v>14400</v>
      </c>
      <c r="E98" s="366">
        <v>10094400</v>
      </c>
      <c r="F98" s="366">
        <v>3600</v>
      </c>
      <c r="G98" s="366">
        <v>2523600</v>
      </c>
      <c r="H98" s="366">
        <v>18000</v>
      </c>
      <c r="I98" s="367">
        <v>12618000</v>
      </c>
      <c r="J98" s="359"/>
    </row>
    <row r="99" spans="1:10" ht="26.25" thickBot="1">
      <c r="A99" s="364" t="s">
        <v>369</v>
      </c>
      <c r="B99" s="365">
        <v>701</v>
      </c>
      <c r="C99" s="365" t="s">
        <v>338</v>
      </c>
      <c r="D99" s="366">
        <v>1200</v>
      </c>
      <c r="E99" s="366">
        <v>841200</v>
      </c>
      <c r="F99" s="366">
        <v>4800</v>
      </c>
      <c r="G99" s="366">
        <v>3364800</v>
      </c>
      <c r="H99" s="366">
        <v>6000</v>
      </c>
      <c r="I99" s="367">
        <v>4206000</v>
      </c>
      <c r="J99" s="359"/>
    </row>
    <row r="100" spans="1:10" ht="26.25" thickBot="1">
      <c r="A100" s="364" t="s">
        <v>370</v>
      </c>
      <c r="B100" s="365">
        <v>959</v>
      </c>
      <c r="C100" s="365" t="s">
        <v>338</v>
      </c>
      <c r="D100" s="368">
        <v>720</v>
      </c>
      <c r="E100" s="366">
        <v>690480</v>
      </c>
      <c r="F100" s="366">
        <v>2880</v>
      </c>
      <c r="G100" s="366">
        <v>2761920</v>
      </c>
      <c r="H100" s="366">
        <v>3600</v>
      </c>
      <c r="I100" s="367">
        <v>3452400</v>
      </c>
      <c r="J100" s="359"/>
    </row>
    <row r="101" spans="1:10">
      <c r="A101" s="481" t="s">
        <v>371</v>
      </c>
      <c r="B101" s="483">
        <v>18</v>
      </c>
      <c r="C101" s="483" t="s">
        <v>338</v>
      </c>
      <c r="D101" s="370"/>
      <c r="E101" s="370"/>
      <c r="F101" s="370"/>
      <c r="G101" s="370"/>
      <c r="H101" s="370"/>
      <c r="I101" s="371"/>
      <c r="J101" s="477"/>
    </row>
    <row r="102" spans="1:10" ht="13.5" thickBot="1">
      <c r="A102" s="482"/>
      <c r="B102" s="484"/>
      <c r="C102" s="484"/>
      <c r="D102" s="366">
        <v>2400</v>
      </c>
      <c r="E102" s="366">
        <v>43200</v>
      </c>
      <c r="F102" s="366">
        <v>3600</v>
      </c>
      <c r="G102" s="366">
        <v>64800</v>
      </c>
      <c r="H102" s="366">
        <v>6000</v>
      </c>
      <c r="I102" s="367">
        <v>108000</v>
      </c>
      <c r="J102" s="477"/>
    </row>
    <row r="103" spans="1:10" ht="16.5" thickBot="1">
      <c r="A103" s="372" t="s">
        <v>372</v>
      </c>
      <c r="B103" s="373">
        <v>1</v>
      </c>
      <c r="C103" s="373" t="s">
        <v>367</v>
      </c>
      <c r="D103" s="374">
        <v>0</v>
      </c>
      <c r="E103" s="374">
        <v>0</v>
      </c>
      <c r="F103" s="375">
        <v>10560000</v>
      </c>
      <c r="G103" s="375">
        <v>10560000</v>
      </c>
      <c r="H103" s="375">
        <v>10560000</v>
      </c>
      <c r="I103" s="387">
        <v>10560000</v>
      </c>
      <c r="J103" s="359"/>
    </row>
    <row r="104" spans="1:10" ht="16.5" thickBot="1">
      <c r="A104" s="376" t="s">
        <v>373</v>
      </c>
      <c r="B104" s="377">
        <v>1</v>
      </c>
      <c r="C104" s="377" t="s">
        <v>338</v>
      </c>
      <c r="D104" s="378" t="s">
        <v>359</v>
      </c>
      <c r="E104" s="378" t="s">
        <v>359</v>
      </c>
      <c r="F104" s="379">
        <v>10560000</v>
      </c>
      <c r="G104" s="379">
        <v>10560000</v>
      </c>
      <c r="H104" s="379">
        <v>10560000</v>
      </c>
      <c r="I104" s="380">
        <v>10560000</v>
      </c>
      <c r="J104" s="359"/>
    </row>
    <row r="105" spans="1:10" ht="16.5" thickBot="1">
      <c r="A105" s="478" t="s">
        <v>374</v>
      </c>
      <c r="B105" s="478"/>
      <c r="C105" s="478"/>
      <c r="D105" s="478"/>
      <c r="E105" s="388">
        <v>58307200</v>
      </c>
      <c r="F105" s="381"/>
      <c r="G105" s="381"/>
      <c r="H105" s="381"/>
      <c r="I105" s="381"/>
      <c r="J105" s="359"/>
    </row>
    <row r="106" spans="1:10" ht="15.75">
      <c r="A106" s="479" t="s">
        <v>375</v>
      </c>
      <c r="B106" s="479"/>
      <c r="C106" s="479"/>
      <c r="D106" s="382">
        <v>0.15</v>
      </c>
      <c r="E106" s="383">
        <v>8746080</v>
      </c>
      <c r="F106" s="381"/>
      <c r="G106" s="381"/>
      <c r="H106" s="381"/>
      <c r="I106" s="381"/>
      <c r="J106" s="359"/>
    </row>
    <row r="107" spans="1:10" ht="15.75">
      <c r="A107" s="480" t="s">
        <v>376</v>
      </c>
      <c r="B107" s="480"/>
      <c r="C107" s="480"/>
      <c r="D107" s="382">
        <v>0.05</v>
      </c>
      <c r="E107" s="383">
        <v>2915360</v>
      </c>
      <c r="F107" s="381"/>
      <c r="G107" s="381"/>
      <c r="H107" s="381"/>
      <c r="I107" s="381"/>
      <c r="J107" s="359"/>
    </row>
    <row r="108" spans="1:10" ht="15.75">
      <c r="A108" s="480" t="s">
        <v>377</v>
      </c>
      <c r="B108" s="480"/>
      <c r="C108" s="480"/>
      <c r="D108" s="382">
        <v>0.05</v>
      </c>
      <c r="E108" s="383">
        <v>2915360</v>
      </c>
      <c r="F108" s="381"/>
      <c r="G108" s="381"/>
      <c r="H108" s="381"/>
      <c r="I108" s="381"/>
      <c r="J108" s="359"/>
    </row>
    <row r="109" spans="1:10" ht="16.5" thickBot="1">
      <c r="A109" s="480" t="s">
        <v>378</v>
      </c>
      <c r="B109" s="480"/>
      <c r="C109" s="480"/>
      <c r="D109" s="382">
        <v>0.25</v>
      </c>
      <c r="E109" s="383">
        <v>14576800</v>
      </c>
      <c r="F109" s="381"/>
      <c r="G109" s="381"/>
      <c r="H109" s="381"/>
      <c r="I109" s="381"/>
      <c r="J109" s="359"/>
    </row>
    <row r="110" spans="1:10" ht="16.5" thickBot="1">
      <c r="A110" s="485" t="s">
        <v>379</v>
      </c>
      <c r="B110" s="485"/>
      <c r="C110" s="485"/>
      <c r="D110" s="485"/>
      <c r="E110" s="388">
        <v>72884000</v>
      </c>
      <c r="F110" s="381"/>
      <c r="G110" s="381"/>
      <c r="H110" s="381"/>
      <c r="I110" s="381"/>
      <c r="J110" s="359"/>
    </row>
    <row r="111" spans="1:10" ht="13.5" thickBot="1">
      <c r="A111" s="485" t="s">
        <v>380</v>
      </c>
      <c r="B111" s="485"/>
      <c r="C111" s="485"/>
      <c r="D111" s="485"/>
      <c r="E111" s="388">
        <f>SUM(E78:E81)+E110</f>
        <v>124794610</v>
      </c>
    </row>
  </sheetData>
  <mergeCells count="40">
    <mergeCell ref="A109:C109"/>
    <mergeCell ref="A110:D110"/>
    <mergeCell ref="A83:I83"/>
    <mergeCell ref="A111:D111"/>
    <mergeCell ref="A87:I87"/>
    <mergeCell ref="A96:I96"/>
    <mergeCell ref="A84:A86"/>
    <mergeCell ref="B84:B86"/>
    <mergeCell ref="C84:C86"/>
    <mergeCell ref="D84:E85"/>
    <mergeCell ref="F84:G85"/>
    <mergeCell ref="J101:J102"/>
    <mergeCell ref="A105:D105"/>
    <mergeCell ref="A106:C106"/>
    <mergeCell ref="A107:C107"/>
    <mergeCell ref="A108:C108"/>
    <mergeCell ref="A101:A102"/>
    <mergeCell ref="B101:B102"/>
    <mergeCell ref="C101:C102"/>
    <mergeCell ref="A54:A55"/>
    <mergeCell ref="A56:A57"/>
    <mergeCell ref="C17:I17"/>
    <mergeCell ref="C18:I18"/>
    <mergeCell ref="F20:H20"/>
    <mergeCell ref="A48:A49"/>
    <mergeCell ref="A50:A51"/>
    <mergeCell ref="A52:A53"/>
    <mergeCell ref="B77:E77"/>
    <mergeCell ref="C16:I16"/>
    <mergeCell ref="B3:I3"/>
    <mergeCell ref="B4:E4"/>
    <mergeCell ref="F4:I4"/>
    <mergeCell ref="B5:E9"/>
    <mergeCell ref="F5:I9"/>
    <mergeCell ref="C10:I10"/>
    <mergeCell ref="C11:I11"/>
    <mergeCell ref="C12:I12"/>
    <mergeCell ref="C13:I13"/>
    <mergeCell ref="C14:I14"/>
    <mergeCell ref="C15:I15"/>
  </mergeCells>
  <conditionalFormatting sqref="C37:W37 C46:W46">
    <cfRule type="expression" dxfId="14" priority="3">
      <formula>C37&gt;$C$22</formula>
    </cfRule>
  </conditionalFormatting>
  <conditionalFormatting sqref="C38:W44 C47:W66 Y52:XFD55">
    <cfRule type="expression" dxfId="13" priority="2">
      <formula>C$37&gt;$C$22</formula>
    </cfRule>
  </conditionalFormatting>
  <conditionalFormatting sqref="F69:W72">
    <cfRule type="expression" dxfId="12" priority="1">
      <formula>F$69&gt;$C$22</formula>
    </cfRule>
  </conditionalFormatting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103"/>
  <sheetViews>
    <sheetView showGridLines="0" topLeftCell="A10" zoomScale="80" zoomScaleNormal="80" workbookViewId="0">
      <selection activeCell="C24" sqref="C24"/>
    </sheetView>
  </sheetViews>
  <sheetFormatPr baseColWidth="10" defaultColWidth="9.140625" defaultRowHeight="12.75"/>
  <cols>
    <col min="1" max="1" width="23.28515625" style="209" customWidth="1"/>
    <col min="2" max="2" width="32.7109375" style="209" customWidth="1"/>
    <col min="3" max="3" width="22.140625" style="209" bestFit="1" customWidth="1"/>
    <col min="4" max="4" width="19.42578125" style="209" bestFit="1" customWidth="1"/>
    <col min="5" max="5" width="19.85546875" style="209" bestFit="1" customWidth="1"/>
    <col min="6" max="6" width="21.28515625" style="209" bestFit="1" customWidth="1"/>
    <col min="7" max="7" width="23.28515625" style="209" customWidth="1"/>
    <col min="8" max="8" width="19.140625" style="209" bestFit="1" customWidth="1"/>
    <col min="9" max="9" width="19.42578125" style="209" bestFit="1" customWidth="1"/>
    <col min="10" max="10" width="19.85546875" style="209" bestFit="1" customWidth="1"/>
    <col min="11" max="12" width="19.42578125" style="209" bestFit="1" customWidth="1"/>
    <col min="13" max="13" width="18.7109375" style="209" bestFit="1" customWidth="1"/>
    <col min="14" max="14" width="17.7109375" style="209" bestFit="1" customWidth="1"/>
    <col min="15" max="15" width="17.85546875" style="209" bestFit="1" customWidth="1"/>
    <col min="16" max="17" width="17.7109375" style="209" bestFit="1" customWidth="1"/>
    <col min="18" max="18" width="17.140625" style="209" bestFit="1" customWidth="1"/>
    <col min="19" max="19" width="17.85546875" style="209" bestFit="1" customWidth="1"/>
    <col min="20" max="20" width="17.28515625" style="209" bestFit="1" customWidth="1"/>
    <col min="21" max="21" width="17.85546875" style="209" bestFit="1" customWidth="1"/>
    <col min="22" max="22" width="17.7109375" style="209" bestFit="1" customWidth="1"/>
    <col min="23" max="23" width="17.28515625" style="209" bestFit="1" customWidth="1"/>
    <col min="24" max="24" width="18.140625" style="209" bestFit="1" customWidth="1"/>
    <col min="25" max="25" width="17.85546875" style="209" bestFit="1" customWidth="1"/>
    <col min="26" max="26" width="18.140625" style="209" bestFit="1" customWidth="1"/>
    <col min="27" max="27" width="17.85546875" style="209" bestFit="1" customWidth="1"/>
    <col min="28" max="28" width="18.140625" style="209" bestFit="1" customWidth="1"/>
    <col min="29" max="16384" width="9.140625" style="209"/>
  </cols>
  <sheetData>
    <row r="1" spans="2:15">
      <c r="L1" s="210" t="s">
        <v>236</v>
      </c>
      <c r="M1" s="210" t="s">
        <v>237</v>
      </c>
      <c r="N1" s="210" t="s">
        <v>4</v>
      </c>
      <c r="O1" s="210" t="s">
        <v>238</v>
      </c>
    </row>
    <row r="2" spans="2:15">
      <c r="L2" s="210" t="s">
        <v>239</v>
      </c>
      <c r="M2" s="210" t="s">
        <v>13</v>
      </c>
      <c r="N2" s="210" t="s">
        <v>15</v>
      </c>
      <c r="O2" s="210" t="s">
        <v>9</v>
      </c>
    </row>
    <row r="3" spans="2:15" ht="23.25">
      <c r="B3" s="457" t="s">
        <v>240</v>
      </c>
      <c r="C3" s="457"/>
      <c r="D3" s="457"/>
      <c r="E3" s="457"/>
      <c r="F3" s="457"/>
      <c r="G3" s="457"/>
      <c r="H3" s="457"/>
      <c r="I3" s="457"/>
      <c r="L3" s="210" t="s">
        <v>241</v>
      </c>
      <c r="M3" s="210" t="s">
        <v>9</v>
      </c>
      <c r="N3" s="210" t="s">
        <v>9</v>
      </c>
      <c r="O3" s="210" t="s">
        <v>15</v>
      </c>
    </row>
    <row r="4" spans="2:15" ht="15.75">
      <c r="B4" s="458" t="s">
        <v>242</v>
      </c>
      <c r="C4" s="458"/>
      <c r="D4" s="458"/>
      <c r="E4" s="458"/>
      <c r="F4" s="458" t="s">
        <v>243</v>
      </c>
      <c r="G4" s="458"/>
      <c r="H4" s="458"/>
      <c r="I4" s="458"/>
      <c r="L4" s="210"/>
      <c r="M4" s="210"/>
      <c r="N4" s="210"/>
      <c r="O4" s="210"/>
    </row>
    <row r="5" spans="2:15" ht="23.25" customHeight="1">
      <c r="B5" s="459" t="s">
        <v>294</v>
      </c>
      <c r="C5" s="460"/>
      <c r="D5" s="460"/>
      <c r="E5" s="461"/>
      <c r="F5" s="468"/>
      <c r="G5" s="468"/>
      <c r="H5" s="468"/>
      <c r="I5" s="468"/>
      <c r="L5" s="210"/>
      <c r="M5" s="210"/>
      <c r="N5" s="210"/>
      <c r="O5" s="210"/>
    </row>
    <row r="6" spans="2:15" ht="23.25" customHeight="1">
      <c r="B6" s="462"/>
      <c r="C6" s="463"/>
      <c r="D6" s="463"/>
      <c r="E6" s="464"/>
      <c r="F6" s="468"/>
      <c r="G6" s="468"/>
      <c r="H6" s="468"/>
      <c r="I6" s="468"/>
      <c r="L6" s="210"/>
      <c r="M6" s="210"/>
      <c r="N6" s="210"/>
      <c r="O6" s="210"/>
    </row>
    <row r="7" spans="2:15" ht="23.25" customHeight="1">
      <c r="B7" s="462"/>
      <c r="C7" s="463"/>
      <c r="D7" s="463"/>
      <c r="E7" s="464"/>
      <c r="F7" s="468"/>
      <c r="G7" s="468"/>
      <c r="H7" s="468"/>
      <c r="I7" s="468"/>
      <c r="L7" s="210"/>
      <c r="M7" s="210"/>
      <c r="N7" s="210"/>
      <c r="O7" s="210"/>
    </row>
    <row r="8" spans="2:15" ht="23.25" customHeight="1">
      <c r="B8" s="462"/>
      <c r="C8" s="463"/>
      <c r="D8" s="463"/>
      <c r="E8" s="464"/>
      <c r="F8" s="468"/>
      <c r="G8" s="468"/>
      <c r="H8" s="468"/>
      <c r="I8" s="468"/>
      <c r="L8" s="210"/>
      <c r="M8" s="210"/>
      <c r="N8" s="210"/>
      <c r="O8" s="210"/>
    </row>
    <row r="9" spans="2:15" ht="24" customHeight="1">
      <c r="B9" s="465"/>
      <c r="C9" s="466"/>
      <c r="D9" s="466"/>
      <c r="E9" s="467"/>
      <c r="F9" s="468"/>
      <c r="G9" s="468"/>
      <c r="H9" s="468"/>
      <c r="I9" s="468"/>
      <c r="L9" s="210"/>
      <c r="M9" s="210"/>
      <c r="N9" s="210"/>
      <c r="O9" s="210"/>
    </row>
    <row r="10" spans="2:15" ht="13.5" thickBot="1">
      <c r="B10" s="211" t="s">
        <v>246</v>
      </c>
      <c r="C10" s="469" t="str">
        <f>+'List of ECMs'!A7</f>
        <v>ECM-5</v>
      </c>
      <c r="D10" s="469"/>
      <c r="E10" s="469"/>
      <c r="F10" s="469"/>
      <c r="G10" s="469"/>
      <c r="H10" s="469"/>
      <c r="I10" s="469"/>
    </row>
    <row r="11" spans="2:15" ht="13.5" thickBot="1">
      <c r="B11" s="212" t="s">
        <v>247</v>
      </c>
      <c r="C11" s="470"/>
      <c r="D11" s="470"/>
      <c r="E11" s="470"/>
      <c r="F11" s="470"/>
      <c r="G11" s="470"/>
      <c r="H11" s="470"/>
      <c r="I11" s="470"/>
    </row>
    <row r="12" spans="2:15" ht="13.5" thickBot="1">
      <c r="B12" s="212" t="s">
        <v>248</v>
      </c>
      <c r="C12" s="471" t="str">
        <f>+'List of ECMs'!B7</f>
        <v>Cambio tecnológico de ascensores actuales por equipos de mayor eficiencia energética</v>
      </c>
      <c r="D12" s="472"/>
      <c r="E12" s="472"/>
      <c r="F12" s="472"/>
      <c r="G12" s="472"/>
      <c r="H12" s="472"/>
      <c r="I12" s="473"/>
    </row>
    <row r="13" spans="2:15" ht="13.5" thickBot="1">
      <c r="B13" s="212" t="s">
        <v>19</v>
      </c>
      <c r="C13" s="454" t="str">
        <f>+'Unidades de Trabajo'!B9</f>
        <v>COP</v>
      </c>
      <c r="D13" s="455"/>
      <c r="E13" s="455"/>
      <c r="F13" s="455"/>
      <c r="G13" s="455"/>
      <c r="H13" s="455"/>
      <c r="I13" s="456"/>
    </row>
    <row r="14" spans="2:15" ht="13.5" thickBot="1">
      <c r="B14" s="212" t="s">
        <v>249</v>
      </c>
      <c r="C14" s="454" t="str">
        <f>+'Unidades de Trabajo'!B4</f>
        <v>kWh</v>
      </c>
      <c r="D14" s="455"/>
      <c r="E14" s="455"/>
      <c r="F14" s="455"/>
      <c r="G14" s="455"/>
      <c r="H14" s="455"/>
      <c r="I14" s="456"/>
    </row>
    <row r="15" spans="2:15" ht="13.5" thickBot="1">
      <c r="B15" s="212" t="s">
        <v>250</v>
      </c>
      <c r="C15" s="454" t="str">
        <f>+'Unidades de Trabajo'!B5</f>
        <v>m3</v>
      </c>
      <c r="D15" s="455"/>
      <c r="E15" s="455"/>
      <c r="F15" s="455"/>
      <c r="G15" s="455"/>
      <c r="H15" s="455"/>
      <c r="I15" s="456"/>
    </row>
    <row r="16" spans="2:15" ht="13.5" thickBot="1">
      <c r="B16" s="212" t="s">
        <v>251</v>
      </c>
      <c r="C16" s="454" t="str">
        <f>+'Unidades de Trabajo'!B6</f>
        <v>Gal</v>
      </c>
      <c r="D16" s="455"/>
      <c r="E16" s="455"/>
      <c r="F16" s="455"/>
      <c r="G16" s="455"/>
      <c r="H16" s="455"/>
      <c r="I16" s="456"/>
    </row>
    <row r="17" spans="2:12" ht="13.5" thickBot="1">
      <c r="B17" s="212" t="s">
        <v>252</v>
      </c>
      <c r="C17" s="454" t="str">
        <f>+'Unidades de Trabajo'!B7</f>
        <v>NA</v>
      </c>
      <c r="D17" s="455"/>
      <c r="E17" s="455"/>
      <c r="F17" s="455"/>
      <c r="G17" s="455"/>
      <c r="H17" s="455"/>
      <c r="I17" s="456"/>
    </row>
    <row r="18" spans="2:12" ht="13.5" thickBot="1">
      <c r="B18" s="213" t="s">
        <v>253</v>
      </c>
      <c r="C18" s="454" t="str">
        <f>+'Unidades de Trabajo'!B8</f>
        <v>m3</v>
      </c>
      <c r="D18" s="455"/>
      <c r="E18" s="455"/>
      <c r="F18" s="455"/>
      <c r="G18" s="455"/>
      <c r="H18" s="455"/>
      <c r="I18" s="456"/>
    </row>
    <row r="19" spans="2:12">
      <c r="B19" s="214"/>
    </row>
    <row r="20" spans="2:12" ht="18.75" thickBot="1">
      <c r="B20" s="215" t="s">
        <v>254</v>
      </c>
      <c r="C20" s="216"/>
      <c r="D20" s="216"/>
      <c r="F20" s="508" t="s">
        <v>255</v>
      </c>
      <c r="G20" s="508"/>
      <c r="H20" s="508"/>
      <c r="J20" s="217"/>
      <c r="K20" s="217"/>
      <c r="L20" s="217"/>
    </row>
    <row r="21" spans="2:12" ht="18.75" thickBot="1">
      <c r="B21" s="218" t="s">
        <v>256</v>
      </c>
      <c r="C21" s="279">
        <f>D102</f>
        <v>2547081874</v>
      </c>
      <c r="D21" s="219" t="str">
        <f>+C13</f>
        <v>COP</v>
      </c>
      <c r="E21" s="220"/>
      <c r="F21" s="318" t="s">
        <v>257</v>
      </c>
      <c r="G21" s="319">
        <f>IRR(C41:AB41)*100</f>
        <v>8.2417970583288813</v>
      </c>
      <c r="H21" s="318" t="s">
        <v>27</v>
      </c>
      <c r="J21" s="217"/>
      <c r="K21" s="223"/>
      <c r="L21" s="217"/>
    </row>
    <row r="22" spans="2:12" ht="18.75" thickBot="1">
      <c r="B22" s="218" t="s">
        <v>258</v>
      </c>
      <c r="C22" s="224">
        <v>25</v>
      </c>
      <c r="D22" s="219" t="s">
        <v>259</v>
      </c>
      <c r="F22" s="318" t="s">
        <v>260</v>
      </c>
      <c r="G22" s="320">
        <f>+C41+NPV(C34/100,D41:AB41)</f>
        <v>4847500300.0035954</v>
      </c>
      <c r="H22" s="318" t="str">
        <f>+C13</f>
        <v>COP</v>
      </c>
      <c r="J22" s="217"/>
      <c r="K22" s="226"/>
      <c r="L22" s="217"/>
    </row>
    <row r="23" spans="2:12" ht="15" thickBot="1">
      <c r="B23" s="218" t="s">
        <v>261</v>
      </c>
      <c r="C23" s="224">
        <v>25</v>
      </c>
      <c r="D23" s="219" t="s">
        <v>259</v>
      </c>
      <c r="F23" s="321" t="s">
        <v>262</v>
      </c>
      <c r="G23" s="322">
        <f>IF(C22&lt;=1,1,ABS(INTERCEPT(D44:AB44,D37:AB37))/ABS(SLOPE(D44:AB44,D37:AB37)))</f>
        <v>11.172237276592524</v>
      </c>
      <c r="H23" s="321" t="s">
        <v>263</v>
      </c>
      <c r="K23" s="229"/>
    </row>
    <row r="24" spans="2:12" ht="18.75" thickBot="1">
      <c r="B24" s="230"/>
      <c r="C24" s="231">
        <f>C21-'ECM-5 Otras'!C21</f>
        <v>640041874</v>
      </c>
      <c r="D24" s="232"/>
      <c r="F24" s="321" t="s">
        <v>264</v>
      </c>
      <c r="G24" s="323">
        <f>D47</f>
        <v>163778415.68791106</v>
      </c>
      <c r="H24" s="318" t="s">
        <v>20</v>
      </c>
    </row>
    <row r="25" spans="2:12" ht="18.75" thickBot="1">
      <c r="F25" s="321" t="s">
        <v>265</v>
      </c>
      <c r="G25" s="322">
        <f>C27/(Electricidad!E17*12)*100</f>
        <v>7.2209196325186022</v>
      </c>
      <c r="H25" s="318" t="s">
        <v>27</v>
      </c>
      <c r="K25" s="234"/>
    </row>
    <row r="26" spans="2:12" ht="15.75" thickBot="1">
      <c r="B26" s="215" t="s">
        <v>266</v>
      </c>
      <c r="C26" s="215"/>
      <c r="D26" s="215"/>
      <c r="F26" s="321" t="s">
        <v>267</v>
      </c>
      <c r="G26" s="322">
        <f>C27*'Gráficos de control'!$N$37/1000</f>
        <v>29.772162000000002</v>
      </c>
      <c r="H26" s="321" t="s">
        <v>268</v>
      </c>
    </row>
    <row r="27" spans="2:12" ht="12.2" customHeight="1" thickBot="1">
      <c r="B27" s="235" t="s">
        <v>2</v>
      </c>
      <c r="C27" s="236">
        <v>236287</v>
      </c>
      <c r="D27" s="219" t="str">
        <f>+C14</f>
        <v>kWh</v>
      </c>
      <c r="E27" s="220"/>
    </row>
    <row r="28" spans="2:12" ht="13.5" thickBot="1">
      <c r="B28" s="235" t="s">
        <v>12</v>
      </c>
      <c r="C28" s="237"/>
      <c r="D28" s="219" t="str">
        <f>+C15</f>
        <v>m3</v>
      </c>
      <c r="I28" s="238"/>
    </row>
    <row r="29" spans="2:12" ht="13.5" thickBot="1">
      <c r="B29" s="235" t="s">
        <v>4</v>
      </c>
      <c r="C29" s="237"/>
      <c r="D29" s="219" t="str">
        <f>+C16</f>
        <v>Gal</v>
      </c>
      <c r="H29" s="25"/>
      <c r="I29" s="238"/>
    </row>
    <row r="30" spans="2:12" ht="13.5" thickBot="1">
      <c r="B30" s="235" t="s">
        <v>17</v>
      </c>
      <c r="C30" s="237"/>
      <c r="D30" s="219" t="str">
        <f>+C17</f>
        <v>NA</v>
      </c>
      <c r="H30" s="25"/>
      <c r="I30" s="238"/>
    </row>
    <row r="31" spans="2:12" ht="13.5" thickBot="1">
      <c r="B31" s="235" t="s">
        <v>24</v>
      </c>
      <c r="C31" s="239"/>
      <c r="D31" s="219" t="str">
        <f>+C18</f>
        <v>m3</v>
      </c>
    </row>
    <row r="32" spans="2:12" ht="12.2" customHeight="1" thickBot="1">
      <c r="B32" s="235" t="s">
        <v>6</v>
      </c>
      <c r="C32" s="239"/>
      <c r="D32" s="219" t="str">
        <f>+C13</f>
        <v>COP</v>
      </c>
    </row>
    <row r="33" spans="1:33" ht="13.5" thickBot="1">
      <c r="B33" s="235" t="s">
        <v>269</v>
      </c>
      <c r="C33" s="317">
        <v>0.35</v>
      </c>
      <c r="D33" s="219" t="s">
        <v>27</v>
      </c>
    </row>
    <row r="34" spans="1:33" ht="13.5" thickBot="1">
      <c r="B34" s="218" t="s">
        <v>270</v>
      </c>
      <c r="C34" s="317">
        <v>0.08</v>
      </c>
      <c r="D34" s="219" t="s">
        <v>27</v>
      </c>
      <c r="E34" s="240"/>
    </row>
    <row r="35" spans="1:33" ht="13.5" thickBot="1">
      <c r="B35" s="218" t="s">
        <v>271</v>
      </c>
      <c r="C35" s="237"/>
      <c r="D35" s="219" t="str">
        <f>+C13</f>
        <v>COP</v>
      </c>
      <c r="F35" s="241"/>
    </row>
    <row r="36" spans="1:33" ht="12.2" customHeight="1" thickBot="1"/>
    <row r="37" spans="1:33" ht="17.25" customHeight="1" thickBot="1">
      <c r="B37" s="242" t="s">
        <v>272</v>
      </c>
      <c r="C37" s="243">
        <v>0</v>
      </c>
      <c r="D37" s="243">
        <v>1</v>
      </c>
      <c r="E37" s="243">
        <v>2</v>
      </c>
      <c r="F37" s="243">
        <v>3</v>
      </c>
      <c r="G37" s="243">
        <v>4</v>
      </c>
      <c r="H37" s="243">
        <v>5</v>
      </c>
      <c r="I37" s="243">
        <v>6</v>
      </c>
      <c r="J37" s="243">
        <v>7</v>
      </c>
      <c r="K37" s="243">
        <v>8</v>
      </c>
      <c r="L37" s="243">
        <v>9</v>
      </c>
      <c r="M37" s="243">
        <v>10</v>
      </c>
      <c r="N37" s="244">
        <v>11</v>
      </c>
      <c r="O37" s="244">
        <v>12</v>
      </c>
      <c r="P37" s="244">
        <v>13</v>
      </c>
      <c r="Q37" s="244">
        <v>14</v>
      </c>
      <c r="R37" s="244">
        <v>15</v>
      </c>
      <c r="S37" s="244">
        <v>16</v>
      </c>
      <c r="T37" s="244">
        <v>17</v>
      </c>
      <c r="U37" s="244">
        <v>18</v>
      </c>
      <c r="V37" s="244">
        <v>19</v>
      </c>
      <c r="W37" s="244">
        <v>20</v>
      </c>
      <c r="X37" s="244">
        <v>21</v>
      </c>
      <c r="Y37" s="244">
        <v>22</v>
      </c>
      <c r="Z37" s="244">
        <v>23</v>
      </c>
      <c r="AA37" s="244">
        <v>24</v>
      </c>
      <c r="AB37" s="244">
        <v>25</v>
      </c>
      <c r="AC37" s="244">
        <v>26</v>
      </c>
      <c r="AD37" s="244">
        <v>27</v>
      </c>
      <c r="AE37" s="244">
        <v>28</v>
      </c>
      <c r="AF37" s="244">
        <v>29</v>
      </c>
      <c r="AG37" s="244">
        <v>30</v>
      </c>
    </row>
    <row r="38" spans="1:33">
      <c r="B38" s="245" t="s">
        <v>273</v>
      </c>
      <c r="C38" s="278">
        <f>-C21</f>
        <v>-2547081874</v>
      </c>
      <c r="D38" s="278">
        <v>0</v>
      </c>
      <c r="E38" s="278">
        <f>IF(E$37&lt;=$C$22,0,0)</f>
        <v>0</v>
      </c>
      <c r="F38" s="278">
        <f>IF(F$37&lt;=$C$22,0,0)</f>
        <v>0</v>
      </c>
      <c r="G38" s="278">
        <f t="shared" ref="G38:AG38" si="0">IF(G$37&lt;=$C$22,0,0)</f>
        <v>0</v>
      </c>
      <c r="H38" s="278">
        <f t="shared" si="0"/>
        <v>0</v>
      </c>
      <c r="I38" s="278">
        <f t="shared" si="0"/>
        <v>0</v>
      </c>
      <c r="J38" s="278">
        <f t="shared" si="0"/>
        <v>0</v>
      </c>
      <c r="K38" s="278">
        <f t="shared" si="0"/>
        <v>0</v>
      </c>
      <c r="L38" s="278">
        <f t="shared" si="0"/>
        <v>0</v>
      </c>
      <c r="M38" s="278">
        <f t="shared" si="0"/>
        <v>0</v>
      </c>
      <c r="N38" s="246">
        <f t="shared" si="0"/>
        <v>0</v>
      </c>
      <c r="O38" s="246">
        <f t="shared" si="0"/>
        <v>0</v>
      </c>
      <c r="P38" s="246">
        <f t="shared" si="0"/>
        <v>0</v>
      </c>
      <c r="Q38" s="246">
        <f t="shared" si="0"/>
        <v>0</v>
      </c>
      <c r="R38" s="246">
        <f t="shared" si="0"/>
        <v>0</v>
      </c>
      <c r="S38" s="246">
        <f t="shared" si="0"/>
        <v>0</v>
      </c>
      <c r="T38" s="246">
        <f t="shared" si="0"/>
        <v>0</v>
      </c>
      <c r="U38" s="246">
        <f t="shared" si="0"/>
        <v>0</v>
      </c>
      <c r="V38" s="246">
        <f t="shared" si="0"/>
        <v>0</v>
      </c>
      <c r="W38" s="246">
        <f t="shared" si="0"/>
        <v>0</v>
      </c>
      <c r="X38" s="246">
        <f t="shared" si="0"/>
        <v>0</v>
      </c>
      <c r="Y38" s="246">
        <f t="shared" si="0"/>
        <v>0</v>
      </c>
      <c r="Z38" s="246">
        <f t="shared" si="0"/>
        <v>0</v>
      </c>
      <c r="AA38" s="246">
        <f t="shared" si="0"/>
        <v>0</v>
      </c>
      <c r="AB38" s="246">
        <f t="shared" si="0"/>
        <v>0</v>
      </c>
      <c r="AC38" s="246">
        <f t="shared" si="0"/>
        <v>0</v>
      </c>
      <c r="AD38" s="246">
        <f t="shared" si="0"/>
        <v>0</v>
      </c>
      <c r="AE38" s="246">
        <f t="shared" si="0"/>
        <v>0</v>
      </c>
      <c r="AF38" s="246">
        <f t="shared" si="0"/>
        <v>0</v>
      </c>
      <c r="AG38" s="246">
        <f t="shared" si="0"/>
        <v>0</v>
      </c>
    </row>
    <row r="39" spans="1:33">
      <c r="B39" s="245" t="s">
        <v>274</v>
      </c>
      <c r="C39" s="278">
        <f>C60</f>
        <v>-12000000</v>
      </c>
      <c r="D39" s="278">
        <f>D60</f>
        <v>151778415.68791106</v>
      </c>
      <c r="E39" s="278">
        <f>IF(E$46&lt;=$C$22,E60,0)</f>
        <v>159967336.47230661</v>
      </c>
      <c r="F39" s="278">
        <f>IF(F$46&lt;=$C$22,F60,0)</f>
        <v>168565703.29592198</v>
      </c>
      <c r="G39" s="278">
        <f t="shared" ref="G39:W39" si="1">IF(G$46&lt;=$C$22,G60,0)</f>
        <v>177593988.46071807</v>
      </c>
      <c r="H39" s="278">
        <f t="shared" si="1"/>
        <v>187073687.88375396</v>
      </c>
      <c r="I39" s="278">
        <f t="shared" si="1"/>
        <v>197027372.27794167</v>
      </c>
      <c r="J39" s="278">
        <f t="shared" si="1"/>
        <v>207478740.89183876</v>
      </c>
      <c r="K39" s="278">
        <f t="shared" si="1"/>
        <v>218452677.93643072</v>
      </c>
      <c r="L39" s="278">
        <f t="shared" si="1"/>
        <v>229975311.83325228</v>
      </c>
      <c r="M39" s="278">
        <f t="shared" si="1"/>
        <v>242074077.42491487</v>
      </c>
      <c r="N39" s="246">
        <f t="shared" si="1"/>
        <v>254777781.29616064</v>
      </c>
      <c r="O39" s="246">
        <f t="shared" si="1"/>
        <v>268116670.36096865</v>
      </c>
      <c r="P39" s="246">
        <f t="shared" si="1"/>
        <v>282122503.87901711</v>
      </c>
      <c r="Q39" s="246">
        <f t="shared" si="1"/>
        <v>296828629.07296801</v>
      </c>
      <c r="R39" s="246">
        <f t="shared" si="1"/>
        <v>312270060.52661645</v>
      </c>
      <c r="S39" s="246">
        <f t="shared" si="1"/>
        <v>328483563.55294728</v>
      </c>
      <c r="T39" s="246">
        <f t="shared" si="1"/>
        <v>345507741.73059469</v>
      </c>
      <c r="U39" s="246">
        <f t="shared" si="1"/>
        <v>363383128.81712443</v>
      </c>
      <c r="V39" s="246">
        <f t="shared" si="1"/>
        <v>382152285.25798064</v>
      </c>
      <c r="W39" s="246">
        <f t="shared" si="1"/>
        <v>401859899.52087969</v>
      </c>
      <c r="X39" s="246">
        <f t="shared" ref="X39:AG39" si="2">IF(X$46&lt;=$C$22,X60,0)</f>
        <v>422552894.49692369</v>
      </c>
      <c r="Y39" s="246">
        <f t="shared" si="2"/>
        <v>444280539.22176993</v>
      </c>
      <c r="Z39" s="246">
        <f t="shared" si="2"/>
        <v>467094566.18285841</v>
      </c>
      <c r="AA39" s="246">
        <f t="shared" si="2"/>
        <v>491049294.49200135</v>
      </c>
      <c r="AB39" s="246">
        <f t="shared" si="2"/>
        <v>516201759.21660143</v>
      </c>
      <c r="AC39" s="246">
        <f t="shared" si="2"/>
        <v>0</v>
      </c>
      <c r="AD39" s="246">
        <f t="shared" si="2"/>
        <v>0</v>
      </c>
      <c r="AE39" s="246">
        <f t="shared" si="2"/>
        <v>0</v>
      </c>
      <c r="AF39" s="246">
        <f t="shared" si="2"/>
        <v>0</v>
      </c>
      <c r="AG39" s="246">
        <f t="shared" si="2"/>
        <v>0</v>
      </c>
    </row>
    <row r="40" spans="1:33">
      <c r="B40" s="245" t="s">
        <v>275</v>
      </c>
      <c r="C40" s="278">
        <f>C63</f>
        <v>0</v>
      </c>
      <c r="D40" s="278">
        <f>D63</f>
        <v>-174632.99254768874</v>
      </c>
      <c r="E40" s="278">
        <f>IF(E$46&lt;=$C$22,E63,0)</f>
        <v>-203294.21529307312</v>
      </c>
      <c r="F40" s="278">
        <f>IF(F$46&lt;=$C$22,F63,0)</f>
        <v>-233388.49917572696</v>
      </c>
      <c r="G40" s="278">
        <f t="shared" ref="G40:W40" si="3">IF(G$46&lt;=$C$22,G63,0)</f>
        <v>-264987.49725251325</v>
      </c>
      <c r="H40" s="278">
        <f t="shared" si="3"/>
        <v>-298166.44523313886</v>
      </c>
      <c r="I40" s="278">
        <f t="shared" si="3"/>
        <v>-333004.3406127959</v>
      </c>
      <c r="J40" s="278">
        <f t="shared" si="3"/>
        <v>-369584.1307614356</v>
      </c>
      <c r="K40" s="278">
        <f t="shared" si="3"/>
        <v>-407992.91041750752</v>
      </c>
      <c r="L40" s="278">
        <f t="shared" si="3"/>
        <v>-448322.12905638298</v>
      </c>
      <c r="M40" s="278">
        <f t="shared" si="3"/>
        <v>-490667.808627202</v>
      </c>
      <c r="N40" s="246">
        <f t="shared" si="3"/>
        <v>-535130.77217656223</v>
      </c>
      <c r="O40" s="246">
        <f t="shared" si="3"/>
        <v>-581816.88390339026</v>
      </c>
      <c r="P40" s="246">
        <f t="shared" si="3"/>
        <v>-630837.30121655995</v>
      </c>
      <c r="Q40" s="246">
        <f t="shared" si="3"/>
        <v>-682308.73939538805</v>
      </c>
      <c r="R40" s="246">
        <f t="shared" si="3"/>
        <v>-736353.74948315753</v>
      </c>
      <c r="S40" s="246">
        <f t="shared" si="3"/>
        <v>-793101.01007531548</v>
      </c>
      <c r="T40" s="246">
        <f t="shared" si="3"/>
        <v>-852685.63369708147</v>
      </c>
      <c r="U40" s="246">
        <f t="shared" si="3"/>
        <v>-915249.4884999356</v>
      </c>
      <c r="V40" s="246">
        <f t="shared" si="3"/>
        <v>-980941.5360429323</v>
      </c>
      <c r="W40" s="246">
        <f t="shared" si="3"/>
        <v>-1049918.1859630789</v>
      </c>
      <c r="X40" s="246">
        <f t="shared" ref="X40:AG40" si="4">IF(X$46&lt;=$C$22,X63,0)</f>
        <v>-1122343.668379233</v>
      </c>
      <c r="Y40" s="246">
        <f t="shared" si="4"/>
        <v>-1198390.4249161948</v>
      </c>
      <c r="Z40" s="246">
        <f t="shared" si="4"/>
        <v>-1278239.5192800043</v>
      </c>
      <c r="AA40" s="246">
        <f t="shared" si="4"/>
        <v>-1362081.0683620048</v>
      </c>
      <c r="AB40" s="246">
        <f t="shared" si="4"/>
        <v>-1450114.694898105</v>
      </c>
      <c r="AC40" s="246">
        <f t="shared" si="4"/>
        <v>0</v>
      </c>
      <c r="AD40" s="246">
        <f t="shared" si="4"/>
        <v>0</v>
      </c>
      <c r="AE40" s="246">
        <f t="shared" si="4"/>
        <v>0</v>
      </c>
      <c r="AF40" s="246">
        <f t="shared" si="4"/>
        <v>0</v>
      </c>
      <c r="AG40" s="246">
        <f t="shared" si="4"/>
        <v>0</v>
      </c>
    </row>
    <row r="41" spans="1:33" ht="15">
      <c r="B41" s="247" t="s">
        <v>276</v>
      </c>
      <c r="C41" s="280">
        <f>SUM(C38:C40)</f>
        <v>-2559081874</v>
      </c>
      <c r="D41" s="280">
        <f>SUM(D38:D40)</f>
        <v>151603782.69536337</v>
      </c>
      <c r="E41" s="280">
        <f>IF(E$46&lt;=$C$22,SUM(E38:E40),0)</f>
        <v>159764042.25701353</v>
      </c>
      <c r="F41" s="280">
        <f>IF(F$46&lt;=$C$22,SUM(F38:F40),0)</f>
        <v>168332314.79674625</v>
      </c>
      <c r="G41" s="280">
        <f t="shared" ref="G41:W41" si="5">IF(G$46&lt;=$C$22,SUM(G38:G40),0)</f>
        <v>177329000.96346554</v>
      </c>
      <c r="H41" s="280">
        <f t="shared" si="5"/>
        <v>186775521.43852082</v>
      </c>
      <c r="I41" s="280">
        <f t="shared" si="5"/>
        <v>196694367.93732888</v>
      </c>
      <c r="J41" s="280">
        <f t="shared" si="5"/>
        <v>207109156.76107731</v>
      </c>
      <c r="K41" s="280">
        <f t="shared" si="5"/>
        <v>218044685.02601323</v>
      </c>
      <c r="L41" s="280">
        <f t="shared" si="5"/>
        <v>229526989.70419589</v>
      </c>
      <c r="M41" s="280">
        <f t="shared" si="5"/>
        <v>241583409.61628768</v>
      </c>
      <c r="N41" s="248">
        <f t="shared" si="5"/>
        <v>254242650.52398407</v>
      </c>
      <c r="O41" s="248">
        <f t="shared" si="5"/>
        <v>267534853.47706527</v>
      </c>
      <c r="P41" s="248">
        <f t="shared" si="5"/>
        <v>281491666.57780057</v>
      </c>
      <c r="Q41" s="248">
        <f t="shared" si="5"/>
        <v>296146320.33357263</v>
      </c>
      <c r="R41" s="248">
        <f t="shared" si="5"/>
        <v>311533706.77713329</v>
      </c>
      <c r="S41" s="248">
        <f t="shared" si="5"/>
        <v>327690462.54287195</v>
      </c>
      <c r="T41" s="248">
        <f t="shared" si="5"/>
        <v>344655056.0968976</v>
      </c>
      <c r="U41" s="248">
        <f t="shared" si="5"/>
        <v>362467879.32862449</v>
      </c>
      <c r="V41" s="248">
        <f t="shared" si="5"/>
        <v>381171343.72193772</v>
      </c>
      <c r="W41" s="248">
        <f t="shared" si="5"/>
        <v>400809981.33491659</v>
      </c>
      <c r="X41" s="248">
        <f t="shared" ref="X41:AG41" si="6">IF(X$46&lt;=$C$22,SUM(X38:X40),0)</f>
        <v>421430550.82854444</v>
      </c>
      <c r="Y41" s="248">
        <f t="shared" si="6"/>
        <v>443082148.79685372</v>
      </c>
      <c r="Z41" s="248">
        <f t="shared" si="6"/>
        <v>465816326.66357839</v>
      </c>
      <c r="AA41" s="248">
        <f t="shared" si="6"/>
        <v>489687213.42363936</v>
      </c>
      <c r="AB41" s="248">
        <f t="shared" si="6"/>
        <v>514751644.5217033</v>
      </c>
      <c r="AC41" s="248">
        <f t="shared" si="6"/>
        <v>0</v>
      </c>
      <c r="AD41" s="248">
        <f t="shared" si="6"/>
        <v>0</v>
      </c>
      <c r="AE41" s="248">
        <f t="shared" si="6"/>
        <v>0</v>
      </c>
      <c r="AF41" s="248">
        <f t="shared" si="6"/>
        <v>0</v>
      </c>
      <c r="AG41" s="248">
        <f t="shared" si="6"/>
        <v>0</v>
      </c>
    </row>
    <row r="42" spans="1:33" ht="14.25">
      <c r="B42" s="249" t="s">
        <v>277</v>
      </c>
      <c r="C42" s="278">
        <f>C41</f>
        <v>-2559081874</v>
      </c>
      <c r="D42" s="278">
        <f>C42+D41</f>
        <v>-2407478091.3046365</v>
      </c>
      <c r="E42" s="278">
        <f>IF(E$46&lt;=$C$22,D42+E41,0)</f>
        <v>-2247714049.0476232</v>
      </c>
      <c r="F42" s="278">
        <f>IF(F$46&lt;=$C$22,E42+F41,0)</f>
        <v>-2079381734.2508769</v>
      </c>
      <c r="G42" s="278">
        <f t="shared" ref="G42:W42" si="7">IF(G$46&lt;=$C$22,F42+G41,0)</f>
        <v>-1902052733.2874115</v>
      </c>
      <c r="H42" s="278">
        <f t="shared" si="7"/>
        <v>-1715277211.8488905</v>
      </c>
      <c r="I42" s="278">
        <f t="shared" si="7"/>
        <v>-1518582843.9115617</v>
      </c>
      <c r="J42" s="278">
        <f t="shared" si="7"/>
        <v>-1311473687.1504843</v>
      </c>
      <c r="K42" s="278">
        <f t="shared" si="7"/>
        <v>-1093429002.1244712</v>
      </c>
      <c r="L42" s="278">
        <f t="shared" si="7"/>
        <v>-863902012.42027533</v>
      </c>
      <c r="M42" s="278">
        <f t="shared" si="7"/>
        <v>-622318602.80398762</v>
      </c>
      <c r="N42" s="246">
        <f t="shared" si="7"/>
        <v>-368075952.28000355</v>
      </c>
      <c r="O42" s="246">
        <f t="shared" si="7"/>
        <v>-100541098.80293828</v>
      </c>
      <c r="P42" s="246">
        <f t="shared" si="7"/>
        <v>180950567.77486229</v>
      </c>
      <c r="Q42" s="246">
        <f t="shared" si="7"/>
        <v>477096888.10843492</v>
      </c>
      <c r="R42" s="246">
        <f t="shared" si="7"/>
        <v>788630594.88556814</v>
      </c>
      <c r="S42" s="246">
        <f t="shared" si="7"/>
        <v>1116321057.4284401</v>
      </c>
      <c r="T42" s="246">
        <f t="shared" si="7"/>
        <v>1460976113.5253377</v>
      </c>
      <c r="U42" s="246">
        <f t="shared" si="7"/>
        <v>1823443992.8539622</v>
      </c>
      <c r="V42" s="246">
        <f t="shared" si="7"/>
        <v>2204615336.5759001</v>
      </c>
      <c r="W42" s="246">
        <f t="shared" si="7"/>
        <v>2605425317.9108167</v>
      </c>
      <c r="X42" s="246">
        <f t="shared" ref="X42" si="8">IF(X$46&lt;=$C$22,W42+X41,0)</f>
        <v>3026855868.7393613</v>
      </c>
      <c r="Y42" s="246">
        <f t="shared" ref="Y42" si="9">IF(Y$46&lt;=$C$22,X42+Y41,0)</f>
        <v>3469938017.5362148</v>
      </c>
      <c r="Z42" s="246">
        <f t="shared" ref="Z42" si="10">IF(Z$46&lt;=$C$22,Y42+Z41,0)</f>
        <v>3935754344.1997933</v>
      </c>
      <c r="AA42" s="246">
        <f t="shared" ref="AA42" si="11">IF(AA$46&lt;=$C$22,Z42+AA41,0)</f>
        <v>4425441557.6234331</v>
      </c>
      <c r="AB42" s="246">
        <f t="shared" ref="AB42" si="12">IF(AB$46&lt;=$C$22,AA42+AB41,0)</f>
        <v>4940193202.1451368</v>
      </c>
      <c r="AC42" s="246">
        <f t="shared" ref="AC42" si="13">IF(AC$46&lt;=$C$22,AB42+AC41,0)</f>
        <v>0</v>
      </c>
      <c r="AD42" s="246">
        <f t="shared" ref="AD42" si="14">IF(AD$46&lt;=$C$22,AC42+AD41,0)</f>
        <v>0</v>
      </c>
      <c r="AE42" s="246">
        <f t="shared" ref="AE42" si="15">IF(AE$46&lt;=$C$22,AD42+AE41,0)</f>
        <v>0</v>
      </c>
      <c r="AF42" s="246">
        <f t="shared" ref="AF42" si="16">IF(AF$46&lt;=$C$22,AE42+AF41,0)</f>
        <v>0</v>
      </c>
      <c r="AG42" s="246">
        <f t="shared" ref="AG42" si="17">IF(AG$46&lt;=$C$22,AF42+AG41,0)</f>
        <v>0</v>
      </c>
    </row>
    <row r="43" spans="1:33" ht="14.25">
      <c r="B43" s="249" t="s">
        <v>278</v>
      </c>
      <c r="C43" s="278">
        <f>C$41/(1+$C$34/100)^C37</f>
        <v>-2559081874</v>
      </c>
      <c r="D43" s="278">
        <f>D$41/(1+$C$34/100)^D37</f>
        <v>151482596.61806893</v>
      </c>
      <c r="E43" s="278">
        <f>IF(E$46&lt;=$C$22,E$41/(1+$C$34/100)^E37,0)</f>
        <v>159508726.20949358</v>
      </c>
      <c r="F43" s="278">
        <f>IF(F$46&lt;=$C$22,F$41/(1+$C$34/100)^F37,0)</f>
        <v>167928962.77649453</v>
      </c>
      <c r="G43" s="278">
        <f t="shared" ref="G43:W43" si="18">IF(G$46&lt;=$C$22,G$41/(1+$C$34/100)^G37,0)</f>
        <v>176762681.2526786</v>
      </c>
      <c r="H43" s="278">
        <f t="shared" si="18"/>
        <v>186030209.05610278</v>
      </c>
      <c r="I43" s="278">
        <f t="shared" si="18"/>
        <v>195752872.91404897</v>
      </c>
      <c r="J43" s="278">
        <f t="shared" si="18"/>
        <v>205953047.9897373</v>
      </c>
      <c r="K43" s="278">
        <f t="shared" si="18"/>
        <v>216654209.42414051</v>
      </c>
      <c r="L43" s="278">
        <f t="shared" si="18"/>
        <v>227880986.41162956</v>
      </c>
      <c r="M43" s="278">
        <f t="shared" si="18"/>
        <v>239659218.93401358</v>
      </c>
      <c r="N43" s="246">
        <f t="shared" si="18"/>
        <v>252016017.28366375</v>
      </c>
      <c r="O43" s="246">
        <f t="shared" si="18"/>
        <v>264979824.5128333</v>
      </c>
      <c r="P43" s="246">
        <f t="shared" si="18"/>
        <v>278580481.95302922</v>
      </c>
      <c r="Q43" s="246">
        <f t="shared" si="18"/>
        <v>292849297.95535845</v>
      </c>
      <c r="R43" s="246">
        <f t="shared" si="18"/>
        <v>307819120.010198</v>
      </c>
      <c r="S43" s="246">
        <f t="shared" si="18"/>
        <v>323524410.41231376</v>
      </c>
      <c r="T43" s="246">
        <f t="shared" si="18"/>
        <v>340001325.64573002</v>
      </c>
      <c r="U43" s="246">
        <f t="shared" si="18"/>
        <v>357287799.67121023</v>
      </c>
      <c r="V43" s="246">
        <f t="shared" si="18"/>
        <v>375423631.30820817</v>
      </c>
      <c r="W43" s="246">
        <f t="shared" si="18"/>
        <v>394450575.91257268</v>
      </c>
      <c r="X43" s="246">
        <f t="shared" ref="X43:AG43" si="19">IF(X$46&lt;=$C$22,X$41/(1+$C$34/100)^X37,0)</f>
        <v>414412441.56119168</v>
      </c>
      <c r="Y43" s="246">
        <f t="shared" si="19"/>
        <v>435355189.96513605</v>
      </c>
      <c r="Z43" s="246">
        <f t="shared" si="19"/>
        <v>457327042.34376341</v>
      </c>
      <c r="AA43" s="246">
        <f t="shared" si="19"/>
        <v>480378590.50366205</v>
      </c>
      <c r="AB43" s="246">
        <f t="shared" si="19"/>
        <v>504562913.37831181</v>
      </c>
      <c r="AC43" s="246">
        <f t="shared" si="19"/>
        <v>0</v>
      </c>
      <c r="AD43" s="246">
        <f t="shared" si="19"/>
        <v>0</v>
      </c>
      <c r="AE43" s="246">
        <f t="shared" si="19"/>
        <v>0</v>
      </c>
      <c r="AF43" s="246">
        <f t="shared" si="19"/>
        <v>0</v>
      </c>
      <c r="AG43" s="246">
        <f t="shared" si="19"/>
        <v>0</v>
      </c>
    </row>
    <row r="44" spans="1:33" ht="14.25">
      <c r="B44" s="249" t="s">
        <v>279</v>
      </c>
      <c r="C44" s="278">
        <f>+C43</f>
        <v>-2559081874</v>
      </c>
      <c r="D44" s="278">
        <f>+C44+D43</f>
        <v>-2407599277.3819313</v>
      </c>
      <c r="E44" s="278">
        <f>IF(E$46&lt;=$C$22,+E43+D44,"")</f>
        <v>-2248090551.1724377</v>
      </c>
      <c r="F44" s="278">
        <f t="shared" ref="F44:T44" si="20">IF(F$46&lt;=$C$22,+F43+E44,"")</f>
        <v>-2080161588.3959432</v>
      </c>
      <c r="G44" s="278">
        <f t="shared" si="20"/>
        <v>-1903398907.1432645</v>
      </c>
      <c r="H44" s="278">
        <f t="shared" si="20"/>
        <v>-1717368698.0871618</v>
      </c>
      <c r="I44" s="278">
        <f t="shared" si="20"/>
        <v>-1521615825.1731129</v>
      </c>
      <c r="J44" s="278">
        <f t="shared" si="20"/>
        <v>-1315662777.1833756</v>
      </c>
      <c r="K44" s="278">
        <f t="shared" si="20"/>
        <v>-1099008567.7592351</v>
      </c>
      <c r="L44" s="278">
        <f t="shared" si="20"/>
        <v>-871127581.34760559</v>
      </c>
      <c r="M44" s="278">
        <f t="shared" si="20"/>
        <v>-631468362.41359198</v>
      </c>
      <c r="N44" s="246">
        <f t="shared" si="20"/>
        <v>-379452345.12992823</v>
      </c>
      <c r="O44" s="246">
        <f t="shared" si="20"/>
        <v>-114472520.61709493</v>
      </c>
      <c r="P44" s="246">
        <f t="shared" si="20"/>
        <v>164107961.33593428</v>
      </c>
      <c r="Q44" s="246">
        <f t="shared" si="20"/>
        <v>456957259.29129273</v>
      </c>
      <c r="R44" s="246">
        <f t="shared" si="20"/>
        <v>764776379.30149078</v>
      </c>
      <c r="S44" s="246">
        <f t="shared" si="20"/>
        <v>1088300789.7138045</v>
      </c>
      <c r="T44" s="246">
        <f t="shared" si="20"/>
        <v>1428302115.3595345</v>
      </c>
      <c r="U44" s="246">
        <f t="shared" ref="U44:W44" si="21">IF(U$46&lt;=$C$22,+U43+T44,0)</f>
        <v>1785589915.0307448</v>
      </c>
      <c r="V44" s="246">
        <f t="shared" si="21"/>
        <v>2161013546.338953</v>
      </c>
      <c r="W44" s="246">
        <f t="shared" si="21"/>
        <v>2555464122.2515259</v>
      </c>
      <c r="X44" s="246">
        <f t="shared" ref="X44" si="22">IF(X$46&lt;=$C$22,+X43+W44,0)</f>
        <v>2969876563.8127174</v>
      </c>
      <c r="Y44" s="246">
        <f t="shared" ref="Y44" si="23">IF(Y$46&lt;=$C$22,+Y43+X44,0)</f>
        <v>3405231753.7778535</v>
      </c>
      <c r="Z44" s="246">
        <f t="shared" ref="Z44" si="24">IF(Z$46&lt;=$C$22,+Z43+Y44,0)</f>
        <v>3862558796.1216168</v>
      </c>
      <c r="AA44" s="246">
        <f t="shared" ref="AA44" si="25">IF(AA$46&lt;=$C$22,+AA43+Z44,0)</f>
        <v>4342937386.6252785</v>
      </c>
      <c r="AB44" s="246">
        <f t="shared" ref="AB44" si="26">IF(AB$46&lt;=$C$22,+AB43+AA44,0)</f>
        <v>4847500300.0035906</v>
      </c>
      <c r="AC44" s="246">
        <f t="shared" ref="AC44" si="27">IF(AC$46&lt;=$C$22,+AC43+AB44,0)</f>
        <v>0</v>
      </c>
      <c r="AD44" s="246">
        <f t="shared" ref="AD44" si="28">IF(AD$46&lt;=$C$22,+AD43+AC44,0)</f>
        <v>0</v>
      </c>
      <c r="AE44" s="246">
        <f t="shared" ref="AE44" si="29">IF(AE$46&lt;=$C$22,+AE43+AD44,0)</f>
        <v>0</v>
      </c>
      <c r="AF44" s="246">
        <f t="shared" ref="AF44" si="30">IF(AF$46&lt;=$C$22,+AF43+AE44,0)</f>
        <v>0</v>
      </c>
      <c r="AG44" s="246">
        <f t="shared" ref="AG44" si="31">IF(AG$46&lt;=$C$22,+AG43+AF44,0)</f>
        <v>0</v>
      </c>
    </row>
    <row r="45" spans="1:33" ht="13.5" thickBot="1">
      <c r="I45" s="250"/>
    </row>
    <row r="46" spans="1:33" ht="15.75" thickBot="1">
      <c r="B46" s="251" t="s">
        <v>280</v>
      </c>
      <c r="C46" s="252">
        <v>0</v>
      </c>
      <c r="D46" s="252">
        <v>1</v>
      </c>
      <c r="E46" s="252">
        <v>2</v>
      </c>
      <c r="F46" s="252">
        <v>3</v>
      </c>
      <c r="G46" s="252">
        <v>4</v>
      </c>
      <c r="H46" s="252">
        <v>5</v>
      </c>
      <c r="I46" s="252">
        <v>6</v>
      </c>
      <c r="J46" s="252">
        <v>7</v>
      </c>
      <c r="K46" s="252">
        <v>8</v>
      </c>
      <c r="L46" s="252">
        <v>9</v>
      </c>
      <c r="M46" s="252">
        <v>10</v>
      </c>
      <c r="N46" s="253">
        <v>11</v>
      </c>
      <c r="O46" s="244">
        <v>12</v>
      </c>
      <c r="P46" s="244">
        <v>13</v>
      </c>
      <c r="Q46" s="244">
        <v>14</v>
      </c>
      <c r="R46" s="244">
        <v>15</v>
      </c>
      <c r="S46" s="244">
        <v>16</v>
      </c>
      <c r="T46" s="244">
        <v>17</v>
      </c>
      <c r="U46" s="244">
        <v>18</v>
      </c>
      <c r="V46" s="244">
        <v>19</v>
      </c>
      <c r="W46" s="244">
        <v>20</v>
      </c>
      <c r="X46" s="244">
        <v>21</v>
      </c>
      <c r="Y46" s="244">
        <v>22</v>
      </c>
      <c r="Z46" s="244">
        <v>23</v>
      </c>
      <c r="AA46" s="244">
        <v>24</v>
      </c>
      <c r="AB46" s="244">
        <v>25</v>
      </c>
      <c r="AC46" s="244">
        <v>26</v>
      </c>
      <c r="AD46" s="244">
        <v>27</v>
      </c>
      <c r="AE46" s="244">
        <v>28</v>
      </c>
      <c r="AF46" s="244">
        <v>29</v>
      </c>
      <c r="AG46" s="244">
        <v>30</v>
      </c>
    </row>
    <row r="47" spans="1:33" ht="13.5" thickBot="1">
      <c r="B47" s="245" t="s">
        <v>281</v>
      </c>
      <c r="C47" s="281">
        <f>C48*C49+C50*C51+C56*C57+C58</f>
        <v>0</v>
      </c>
      <c r="D47" s="281">
        <f>D48*D49+D50*D51+D52*D53+D54*D55+D56*D57+D58</f>
        <v>163778415.68791106</v>
      </c>
      <c r="E47" s="281">
        <f>IF(E$46&lt;=$C$22,E48*E49+E50*E51+E52*E53+E54*E55+E56*E57+E58,0)</f>
        <v>171967336.47230661</v>
      </c>
      <c r="F47" s="281">
        <f t="shared" ref="F47:W47" si="32">IF(F$46&lt;=$C$22,F48*F49+F50*F51+F52*F53+F54*F55+F56*F57+F58,0)</f>
        <v>180565703.29592198</v>
      </c>
      <c r="G47" s="254">
        <f t="shared" si="32"/>
        <v>189593988.46071807</v>
      </c>
      <c r="H47" s="254">
        <f t="shared" si="32"/>
        <v>199073687.88375396</v>
      </c>
      <c r="I47" s="281">
        <f t="shared" si="32"/>
        <v>209027372.27794167</v>
      </c>
      <c r="J47" s="281">
        <f t="shared" si="32"/>
        <v>219478740.89183876</v>
      </c>
      <c r="K47" s="281">
        <f t="shared" si="32"/>
        <v>230452677.93643072</v>
      </c>
      <c r="L47" s="254">
        <f t="shared" si="32"/>
        <v>241975311.83325228</v>
      </c>
      <c r="M47" s="254">
        <f t="shared" si="32"/>
        <v>254074077.42491487</v>
      </c>
      <c r="N47" s="254">
        <f t="shared" si="32"/>
        <v>266777781.29616064</v>
      </c>
      <c r="O47" s="254">
        <f t="shared" si="32"/>
        <v>280116670.36096865</v>
      </c>
      <c r="P47" s="254">
        <f t="shared" si="32"/>
        <v>294122503.87901711</v>
      </c>
      <c r="Q47" s="254">
        <f t="shared" si="32"/>
        <v>308828629.07296801</v>
      </c>
      <c r="R47" s="254">
        <f t="shared" si="32"/>
        <v>324270060.52661645</v>
      </c>
      <c r="S47" s="254">
        <f t="shared" si="32"/>
        <v>340483563.55294728</v>
      </c>
      <c r="T47" s="254">
        <f t="shared" si="32"/>
        <v>357507741.73059469</v>
      </c>
      <c r="U47" s="254">
        <f t="shared" si="32"/>
        <v>375383128.81712443</v>
      </c>
      <c r="V47" s="254">
        <f t="shared" si="32"/>
        <v>394152285.25798064</v>
      </c>
      <c r="W47" s="254">
        <f t="shared" si="32"/>
        <v>413859899.52087969</v>
      </c>
      <c r="X47" s="254">
        <f t="shared" ref="X47:AG47" si="33">IF(X$46&lt;=$C$22,X48*X49+X50*X51+X52*X53+X54*X55+X56*X57+X58,0)</f>
        <v>434552894.49692369</v>
      </c>
      <c r="Y47" s="254">
        <f t="shared" si="33"/>
        <v>456280539.22176993</v>
      </c>
      <c r="Z47" s="254">
        <f t="shared" si="33"/>
        <v>479094566.18285841</v>
      </c>
      <c r="AA47" s="254">
        <f t="shared" si="33"/>
        <v>503049294.49200135</v>
      </c>
      <c r="AB47" s="254">
        <f t="shared" si="33"/>
        <v>528201759.21660143</v>
      </c>
      <c r="AC47" s="254">
        <f t="shared" si="33"/>
        <v>0</v>
      </c>
      <c r="AD47" s="254">
        <f t="shared" si="33"/>
        <v>0</v>
      </c>
      <c r="AE47" s="254">
        <f t="shared" si="33"/>
        <v>0</v>
      </c>
      <c r="AF47" s="254">
        <f t="shared" si="33"/>
        <v>0</v>
      </c>
      <c r="AG47" s="254">
        <f t="shared" si="33"/>
        <v>0</v>
      </c>
    </row>
    <row r="48" spans="1:33">
      <c r="A48" s="474" t="s">
        <v>2</v>
      </c>
      <c r="B48" s="256" t="str">
        <f>"Ahorros ("&amp;D27&amp;")"</f>
        <v>Ahorros (kWh)</v>
      </c>
      <c r="C48" s="282"/>
      <c r="D48" s="254">
        <f>IF(D46&gt;$C$22,0,$C$27)</f>
        <v>236287</v>
      </c>
      <c r="E48" s="254">
        <f>IF(E$46&lt;=$C$22,IF(E46&gt;$C$22,0,$C$27),0)</f>
        <v>236287</v>
      </c>
      <c r="F48" s="254">
        <f t="shared" ref="F48:W48" si="34">IF(F$46&lt;=$C$22,IF(F46&gt;$C$22,0,$C$27),0)</f>
        <v>236287</v>
      </c>
      <c r="G48" s="254">
        <f t="shared" si="34"/>
        <v>236287</v>
      </c>
      <c r="H48" s="254">
        <f t="shared" si="34"/>
        <v>236287</v>
      </c>
      <c r="I48" s="254">
        <f t="shared" si="34"/>
        <v>236287</v>
      </c>
      <c r="J48" s="254">
        <f t="shared" si="34"/>
        <v>236287</v>
      </c>
      <c r="K48" s="254">
        <f t="shared" si="34"/>
        <v>236287</v>
      </c>
      <c r="L48" s="254">
        <f t="shared" si="34"/>
        <v>236287</v>
      </c>
      <c r="M48" s="254">
        <f t="shared" si="34"/>
        <v>236287</v>
      </c>
      <c r="N48" s="254">
        <f t="shared" si="34"/>
        <v>236287</v>
      </c>
      <c r="O48" s="254">
        <f t="shared" si="34"/>
        <v>236287</v>
      </c>
      <c r="P48" s="254">
        <f t="shared" si="34"/>
        <v>236287</v>
      </c>
      <c r="Q48" s="254">
        <f t="shared" si="34"/>
        <v>236287</v>
      </c>
      <c r="R48" s="254">
        <f t="shared" si="34"/>
        <v>236287</v>
      </c>
      <c r="S48" s="254">
        <f t="shared" si="34"/>
        <v>236287</v>
      </c>
      <c r="T48" s="254">
        <f t="shared" si="34"/>
        <v>236287</v>
      </c>
      <c r="U48" s="254">
        <f t="shared" si="34"/>
        <v>236287</v>
      </c>
      <c r="V48" s="254">
        <f t="shared" si="34"/>
        <v>236287</v>
      </c>
      <c r="W48" s="254">
        <f t="shared" si="34"/>
        <v>236287</v>
      </c>
      <c r="X48" s="254">
        <f t="shared" ref="X48:AG48" si="35">IF(X$46&lt;=$C$22,IF(X46&gt;$C$22,0,$C$27),0)</f>
        <v>236287</v>
      </c>
      <c r="Y48" s="254">
        <f t="shared" si="35"/>
        <v>236287</v>
      </c>
      <c r="Z48" s="254">
        <f t="shared" si="35"/>
        <v>236287</v>
      </c>
      <c r="AA48" s="254">
        <f t="shared" si="35"/>
        <v>236287</v>
      </c>
      <c r="AB48" s="254">
        <f t="shared" si="35"/>
        <v>236287</v>
      </c>
      <c r="AC48" s="254">
        <f t="shared" si="35"/>
        <v>0</v>
      </c>
      <c r="AD48" s="254">
        <f t="shared" si="35"/>
        <v>0</v>
      </c>
      <c r="AE48" s="254">
        <f t="shared" si="35"/>
        <v>0</v>
      </c>
      <c r="AF48" s="254">
        <f t="shared" si="35"/>
        <v>0</v>
      </c>
      <c r="AG48" s="254">
        <f t="shared" si="35"/>
        <v>0</v>
      </c>
    </row>
    <row r="49" spans="1:33" ht="13.5" thickBot="1">
      <c r="A49" s="475"/>
      <c r="B49" s="256" t="str">
        <f>"Tarifa (COP/"&amp;D27&amp;")"</f>
        <v>Tarifa (COP/kWh)</v>
      </c>
      <c r="C49" s="282"/>
      <c r="D49" s="281">
        <f>+D70</f>
        <v>693.13341693749999</v>
      </c>
      <c r="E49" s="281">
        <f>IF(E$46&lt;=$C$22,+E70,0)</f>
        <v>727.79008778437503</v>
      </c>
      <c r="F49" s="281">
        <f t="shared" ref="F49:W49" si="36">IF(F$46&lt;=$C$22,+F70,0)</f>
        <v>764.17959217359385</v>
      </c>
      <c r="G49" s="281">
        <f t="shared" si="36"/>
        <v>802.38857178227352</v>
      </c>
      <c r="H49" s="281">
        <f t="shared" si="36"/>
        <v>842.5080003713872</v>
      </c>
      <c r="I49" s="281">
        <f t="shared" si="36"/>
        <v>884.63340038995659</v>
      </c>
      <c r="J49" s="281">
        <f t="shared" si="36"/>
        <v>928.86507040945446</v>
      </c>
      <c r="K49" s="281">
        <f t="shared" si="36"/>
        <v>975.30832392992727</v>
      </c>
      <c r="L49" s="281">
        <f t="shared" si="36"/>
        <v>1024.0737401264237</v>
      </c>
      <c r="M49" s="281">
        <f t="shared" si="36"/>
        <v>1075.2774271327448</v>
      </c>
      <c r="N49" s="257">
        <f t="shared" si="36"/>
        <v>1129.0412984893821</v>
      </c>
      <c r="O49" s="257">
        <f t="shared" si="36"/>
        <v>1185.4933634138513</v>
      </c>
      <c r="P49" s="257">
        <f t="shared" si="36"/>
        <v>1244.7680315845439</v>
      </c>
      <c r="Q49" s="257">
        <f t="shared" si="36"/>
        <v>1307.0064331637711</v>
      </c>
      <c r="R49" s="257">
        <f t="shared" si="36"/>
        <v>1372.3567548219598</v>
      </c>
      <c r="S49" s="257">
        <f t="shared" si="36"/>
        <v>1440.974592563058</v>
      </c>
      <c r="T49" s="257">
        <f t="shared" si="36"/>
        <v>1513.023322191211</v>
      </c>
      <c r="U49" s="257">
        <f t="shared" si="36"/>
        <v>1588.6744883007716</v>
      </c>
      <c r="V49" s="257">
        <f t="shared" si="36"/>
        <v>1668.1082127158102</v>
      </c>
      <c r="W49" s="257">
        <f t="shared" si="36"/>
        <v>1751.5136233516007</v>
      </c>
      <c r="X49" s="257">
        <f t="shared" ref="X49:AG49" si="37">IF(X$46&lt;=$C$22,+X70,0)</f>
        <v>1839.0893045191808</v>
      </c>
      <c r="Y49" s="257">
        <f t="shared" si="37"/>
        <v>1931.04376974514</v>
      </c>
      <c r="Z49" s="257">
        <f t="shared" si="37"/>
        <v>2027.5959582323972</v>
      </c>
      <c r="AA49" s="257">
        <f t="shared" si="37"/>
        <v>2128.9757561440169</v>
      </c>
      <c r="AB49" s="257">
        <f t="shared" si="37"/>
        <v>2235.4245439512179</v>
      </c>
      <c r="AC49" s="257">
        <f t="shared" si="37"/>
        <v>0</v>
      </c>
      <c r="AD49" s="257">
        <f t="shared" si="37"/>
        <v>0</v>
      </c>
      <c r="AE49" s="257">
        <f t="shared" si="37"/>
        <v>0</v>
      </c>
      <c r="AF49" s="257">
        <f t="shared" si="37"/>
        <v>0</v>
      </c>
      <c r="AG49" s="257">
        <f t="shared" si="37"/>
        <v>0</v>
      </c>
    </row>
    <row r="50" spans="1:33">
      <c r="A50" s="474" t="s">
        <v>12</v>
      </c>
      <c r="B50" s="256" t="str">
        <f>"Ahorro ("&amp;D28&amp;")"</f>
        <v>Ahorro (m3)</v>
      </c>
      <c r="C50" s="282"/>
      <c r="D50" s="254">
        <f>IF(D46&gt;$C$22,0,$C$28)</f>
        <v>0</v>
      </c>
      <c r="E50" s="254">
        <f>IF(E$46&lt;=$C$22,IF(E46&gt;$C$22,0,$C$28),0)</f>
        <v>0</v>
      </c>
      <c r="F50" s="254">
        <f t="shared" ref="F50:W50" si="38">IF(F$46&lt;=$C$22,IF(F46&gt;$C$22,0,$C$28),0)</f>
        <v>0</v>
      </c>
      <c r="G50" s="254">
        <f t="shared" si="38"/>
        <v>0</v>
      </c>
      <c r="H50" s="254">
        <f t="shared" si="38"/>
        <v>0</v>
      </c>
      <c r="I50" s="254">
        <f t="shared" si="38"/>
        <v>0</v>
      </c>
      <c r="J50" s="254">
        <f t="shared" si="38"/>
        <v>0</v>
      </c>
      <c r="K50" s="254">
        <f t="shared" si="38"/>
        <v>0</v>
      </c>
      <c r="L50" s="254">
        <f t="shared" si="38"/>
        <v>0</v>
      </c>
      <c r="M50" s="254">
        <f t="shared" si="38"/>
        <v>0</v>
      </c>
      <c r="N50" s="254">
        <f t="shared" si="38"/>
        <v>0</v>
      </c>
      <c r="O50" s="254">
        <f t="shared" si="38"/>
        <v>0</v>
      </c>
      <c r="P50" s="254">
        <f t="shared" si="38"/>
        <v>0</v>
      </c>
      <c r="Q50" s="254">
        <f t="shared" si="38"/>
        <v>0</v>
      </c>
      <c r="R50" s="254">
        <f t="shared" si="38"/>
        <v>0</v>
      </c>
      <c r="S50" s="254">
        <f t="shared" si="38"/>
        <v>0</v>
      </c>
      <c r="T50" s="254">
        <f t="shared" si="38"/>
        <v>0</v>
      </c>
      <c r="U50" s="254">
        <f t="shared" si="38"/>
        <v>0</v>
      </c>
      <c r="V50" s="254">
        <f t="shared" si="38"/>
        <v>0</v>
      </c>
      <c r="W50" s="254">
        <f t="shared" si="38"/>
        <v>0</v>
      </c>
      <c r="X50" s="254">
        <f t="shared" ref="X50:AG50" si="39">IF(X$46&lt;=$C$22,IF(X46&gt;$C$22,0,$C$28),0)</f>
        <v>0</v>
      </c>
      <c r="Y50" s="254">
        <f t="shared" si="39"/>
        <v>0</v>
      </c>
      <c r="Z50" s="254">
        <f t="shared" si="39"/>
        <v>0</v>
      </c>
      <c r="AA50" s="254">
        <f t="shared" si="39"/>
        <v>0</v>
      </c>
      <c r="AB50" s="254">
        <f t="shared" si="39"/>
        <v>0</v>
      </c>
      <c r="AC50" s="254">
        <f t="shared" si="39"/>
        <v>0</v>
      </c>
      <c r="AD50" s="254">
        <f t="shared" si="39"/>
        <v>0</v>
      </c>
      <c r="AE50" s="254">
        <f t="shared" si="39"/>
        <v>0</v>
      </c>
      <c r="AF50" s="254">
        <f t="shared" si="39"/>
        <v>0</v>
      </c>
      <c r="AG50" s="254">
        <f t="shared" si="39"/>
        <v>0</v>
      </c>
    </row>
    <row r="51" spans="1:33" ht="13.5" thickBot="1">
      <c r="A51" s="475"/>
      <c r="B51" s="256" t="str">
        <f>"Tarifa (COP/"&amp;D28&amp;")"</f>
        <v>Tarifa (COP/m3)</v>
      </c>
      <c r="C51" s="282"/>
      <c r="D51" s="281">
        <f>+D71</f>
        <v>2877.3135354831925</v>
      </c>
      <c r="E51" s="281">
        <f>IF(E$46&lt;=$C$22,E71,0)</f>
        <v>3021.1792122573524</v>
      </c>
      <c r="F51" s="281">
        <f t="shared" ref="F51:W51" si="40">IF(F$46&lt;=$C$22,F71,0)</f>
        <v>3172.2381728702203</v>
      </c>
      <c r="G51" s="281">
        <f t="shared" si="40"/>
        <v>3330.8500815137313</v>
      </c>
      <c r="H51" s="281">
        <f t="shared" si="40"/>
        <v>3497.3925855894181</v>
      </c>
      <c r="I51" s="281">
        <f t="shared" si="40"/>
        <v>3672.2622148688893</v>
      </c>
      <c r="J51" s="281">
        <f t="shared" si="40"/>
        <v>3855.8753256123341</v>
      </c>
      <c r="K51" s="281">
        <f t="shared" si="40"/>
        <v>4048.6690918929512</v>
      </c>
      <c r="L51" s="281">
        <f t="shared" si="40"/>
        <v>4251.1025464875993</v>
      </c>
      <c r="M51" s="281">
        <f t="shared" si="40"/>
        <v>4463.6576738119793</v>
      </c>
      <c r="N51" s="258">
        <f t="shared" si="40"/>
        <v>4686.8405575025781</v>
      </c>
      <c r="O51" s="258">
        <f t="shared" si="40"/>
        <v>4921.1825853777073</v>
      </c>
      <c r="P51" s="258">
        <f t="shared" si="40"/>
        <v>5167.2417146465932</v>
      </c>
      <c r="Q51" s="258">
        <f t="shared" si="40"/>
        <v>5425.6038003789236</v>
      </c>
      <c r="R51" s="258">
        <f t="shared" si="40"/>
        <v>5696.8839903978696</v>
      </c>
      <c r="S51" s="258">
        <f t="shared" si="40"/>
        <v>5981.7281899177633</v>
      </c>
      <c r="T51" s="258">
        <f t="shared" si="40"/>
        <v>6280.8145994136521</v>
      </c>
      <c r="U51" s="258">
        <f t="shared" si="40"/>
        <v>6594.8553293843352</v>
      </c>
      <c r="V51" s="258">
        <f t="shared" si="40"/>
        <v>6924.598095853552</v>
      </c>
      <c r="W51" s="258">
        <f t="shared" si="40"/>
        <v>7270.8280006462301</v>
      </c>
      <c r="X51" s="258">
        <f t="shared" ref="X51:AG51" si="41">IF(X$46&lt;=$C$22,X71,0)</f>
        <v>7634.3694006785418</v>
      </c>
      <c r="Y51" s="258">
        <f t="shared" si="41"/>
        <v>8016.0878707124693</v>
      </c>
      <c r="Z51" s="258">
        <f t="shared" si="41"/>
        <v>8416.8922642480939</v>
      </c>
      <c r="AA51" s="258">
        <f t="shared" si="41"/>
        <v>8837.7368774604984</v>
      </c>
      <c r="AB51" s="258">
        <f t="shared" si="41"/>
        <v>9279.6237213335244</v>
      </c>
      <c r="AC51" s="258">
        <f t="shared" si="41"/>
        <v>0</v>
      </c>
      <c r="AD51" s="258">
        <f t="shared" si="41"/>
        <v>0</v>
      </c>
      <c r="AE51" s="258">
        <f t="shared" si="41"/>
        <v>0</v>
      </c>
      <c r="AF51" s="258">
        <f t="shared" si="41"/>
        <v>0</v>
      </c>
      <c r="AG51" s="258">
        <f t="shared" si="41"/>
        <v>0</v>
      </c>
    </row>
    <row r="52" spans="1:33">
      <c r="A52" s="474" t="s">
        <v>4</v>
      </c>
      <c r="B52" s="256" t="str">
        <f>"Ahorro ("&amp;D29&amp;")"</f>
        <v>Ahorro (Gal)</v>
      </c>
      <c r="C52" s="282"/>
      <c r="D52" s="254">
        <f>IF(D48&gt;$C$22,0,$C$29)</f>
        <v>0</v>
      </c>
      <c r="E52" s="254">
        <f>IF(E$46&lt;=$C$22,IF(E48&gt;$C$22,0,$C$29),0)</f>
        <v>0</v>
      </c>
      <c r="F52" s="254">
        <f t="shared" ref="F52:W52" si="42">IF(F$46&lt;=$C$22,IF(F48&gt;$C$22,0,$C$29),0)</f>
        <v>0</v>
      </c>
      <c r="G52" s="254">
        <f t="shared" si="42"/>
        <v>0</v>
      </c>
      <c r="H52" s="254">
        <f t="shared" si="42"/>
        <v>0</v>
      </c>
      <c r="I52" s="254">
        <f t="shared" si="42"/>
        <v>0</v>
      </c>
      <c r="J52" s="254">
        <f t="shared" si="42"/>
        <v>0</v>
      </c>
      <c r="K52" s="254">
        <f t="shared" si="42"/>
        <v>0</v>
      </c>
      <c r="L52" s="254">
        <f t="shared" si="42"/>
        <v>0</v>
      </c>
      <c r="M52" s="254">
        <f t="shared" si="42"/>
        <v>0</v>
      </c>
      <c r="N52" s="254">
        <f t="shared" si="42"/>
        <v>0</v>
      </c>
      <c r="O52" s="254">
        <f t="shared" si="42"/>
        <v>0</v>
      </c>
      <c r="P52" s="254">
        <f t="shared" si="42"/>
        <v>0</v>
      </c>
      <c r="Q52" s="254">
        <f t="shared" si="42"/>
        <v>0</v>
      </c>
      <c r="R52" s="254">
        <f t="shared" si="42"/>
        <v>0</v>
      </c>
      <c r="S52" s="254">
        <f t="shared" si="42"/>
        <v>0</v>
      </c>
      <c r="T52" s="254">
        <f t="shared" si="42"/>
        <v>0</v>
      </c>
      <c r="U52" s="254">
        <f t="shared" si="42"/>
        <v>0</v>
      </c>
      <c r="V52" s="254">
        <f t="shared" si="42"/>
        <v>0</v>
      </c>
      <c r="W52" s="254">
        <f t="shared" si="42"/>
        <v>0</v>
      </c>
      <c r="X52" s="254">
        <f t="shared" ref="X52:AG52" si="43">IF(X$46&lt;=$C$22,IF(X48&gt;$C$22,0,$C$29),0)</f>
        <v>0</v>
      </c>
      <c r="Y52" s="254">
        <f t="shared" si="43"/>
        <v>0</v>
      </c>
      <c r="Z52" s="254">
        <f t="shared" si="43"/>
        <v>0</v>
      </c>
      <c r="AA52" s="254">
        <f t="shared" si="43"/>
        <v>0</v>
      </c>
      <c r="AB52" s="254">
        <f t="shared" si="43"/>
        <v>0</v>
      </c>
      <c r="AC52" s="254">
        <f t="shared" si="43"/>
        <v>0</v>
      </c>
      <c r="AD52" s="254">
        <f t="shared" si="43"/>
        <v>0</v>
      </c>
      <c r="AE52" s="254">
        <f t="shared" si="43"/>
        <v>0</v>
      </c>
      <c r="AF52" s="254">
        <f t="shared" si="43"/>
        <v>0</v>
      </c>
      <c r="AG52" s="254">
        <f t="shared" si="43"/>
        <v>0</v>
      </c>
    </row>
    <row r="53" spans="1:33" ht="13.5" thickBot="1">
      <c r="A53" s="475"/>
      <c r="B53" s="256" t="str">
        <f>"Tarifa (COP/"&amp;D29&amp;")"</f>
        <v>Tarifa (COP/Gal)</v>
      </c>
      <c r="C53" s="282"/>
      <c r="D53" s="281">
        <f>+D72</f>
        <v>6549.9739969222646</v>
      </c>
      <c r="E53" s="281">
        <f>IF(E$46&lt;=$C$22,+E72,0)</f>
        <v>6877.4726967683782</v>
      </c>
      <c r="F53" s="281">
        <f t="shared" ref="F53:W53" si="44">IF(F$46&lt;=$C$22,+F72,0)</f>
        <v>7221.3463316067973</v>
      </c>
      <c r="G53" s="281">
        <f t="shared" si="44"/>
        <v>7582.4136481871374</v>
      </c>
      <c r="H53" s="281">
        <f t="shared" si="44"/>
        <v>7961.5343305964943</v>
      </c>
      <c r="I53" s="281">
        <f t="shared" si="44"/>
        <v>8359.61104712632</v>
      </c>
      <c r="J53" s="281">
        <f t="shared" si="44"/>
        <v>8777.5915994826373</v>
      </c>
      <c r="K53" s="281">
        <f t="shared" si="44"/>
        <v>9216.4711794567702</v>
      </c>
      <c r="L53" s="281">
        <f t="shared" si="44"/>
        <v>9677.2947384296094</v>
      </c>
      <c r="M53" s="281">
        <f t="shared" si="44"/>
        <v>10161.159475351091</v>
      </c>
      <c r="N53" s="258">
        <f t="shared" si="44"/>
        <v>10669.217449118645</v>
      </c>
      <c r="O53" s="258">
        <f t="shared" si="44"/>
        <v>11202.678321574578</v>
      </c>
      <c r="P53" s="258">
        <f t="shared" si="44"/>
        <v>11762.812237653308</v>
      </c>
      <c r="Q53" s="258">
        <f t="shared" si="44"/>
        <v>12350.952849535974</v>
      </c>
      <c r="R53" s="258">
        <f t="shared" si="44"/>
        <v>12968.500492012772</v>
      </c>
      <c r="S53" s="258">
        <f t="shared" si="44"/>
        <v>13616.925516613412</v>
      </c>
      <c r="T53" s="258">
        <f t="shared" si="44"/>
        <v>14297.771792444082</v>
      </c>
      <c r="U53" s="258">
        <f t="shared" si="44"/>
        <v>15012.660382066288</v>
      </c>
      <c r="V53" s="258">
        <f t="shared" si="44"/>
        <v>15763.293401169603</v>
      </c>
      <c r="W53" s="258">
        <f t="shared" si="44"/>
        <v>16551.458071228084</v>
      </c>
      <c r="X53" s="258">
        <f t="shared" ref="X53:AG53" si="45">IF(X$46&lt;=$C$22,+X72,0)</f>
        <v>17379.03097478949</v>
      </c>
      <c r="Y53" s="258">
        <f t="shared" si="45"/>
        <v>18247.982523528965</v>
      </c>
      <c r="Z53" s="258">
        <f t="shared" si="45"/>
        <v>19160.381649705414</v>
      </c>
      <c r="AA53" s="258">
        <f t="shared" si="45"/>
        <v>20118.400732190687</v>
      </c>
      <c r="AB53" s="258">
        <f t="shared" si="45"/>
        <v>21124.320768800222</v>
      </c>
      <c r="AC53" s="258">
        <f t="shared" si="45"/>
        <v>0</v>
      </c>
      <c r="AD53" s="258">
        <f t="shared" si="45"/>
        <v>0</v>
      </c>
      <c r="AE53" s="258">
        <f t="shared" si="45"/>
        <v>0</v>
      </c>
      <c r="AF53" s="258">
        <f t="shared" si="45"/>
        <v>0</v>
      </c>
      <c r="AG53" s="258">
        <f t="shared" si="45"/>
        <v>0</v>
      </c>
    </row>
    <row r="54" spans="1:33">
      <c r="A54" s="474" t="s">
        <v>17</v>
      </c>
      <c r="B54" s="256" t="str">
        <f>"Ahorro ("&amp;D30&amp;")"</f>
        <v>Ahorro (NA)</v>
      </c>
      <c r="C54" s="282"/>
      <c r="D54" s="254">
        <f>IF(D50&gt;$C$22,0,$C$30)</f>
        <v>0</v>
      </c>
      <c r="E54" s="254">
        <f>IF(E$46&lt;=$C$22,IF(E50&gt;$C$22,0,$C$30),0)</f>
        <v>0</v>
      </c>
      <c r="F54" s="254">
        <f t="shared" ref="F54:W54" si="46">IF(F$46&lt;=$C$22,IF(F50&gt;$C$22,0,$C$30),0)</f>
        <v>0</v>
      </c>
      <c r="G54" s="254">
        <f t="shared" si="46"/>
        <v>0</v>
      </c>
      <c r="H54" s="254">
        <f t="shared" si="46"/>
        <v>0</v>
      </c>
      <c r="I54" s="254">
        <f t="shared" si="46"/>
        <v>0</v>
      </c>
      <c r="J54" s="254">
        <f t="shared" si="46"/>
        <v>0</v>
      </c>
      <c r="K54" s="254">
        <f t="shared" si="46"/>
        <v>0</v>
      </c>
      <c r="L54" s="254">
        <f t="shared" si="46"/>
        <v>0</v>
      </c>
      <c r="M54" s="254">
        <f t="shared" si="46"/>
        <v>0</v>
      </c>
      <c r="N54" s="254">
        <f t="shared" si="46"/>
        <v>0</v>
      </c>
      <c r="O54" s="254">
        <f t="shared" si="46"/>
        <v>0</v>
      </c>
      <c r="P54" s="254">
        <f t="shared" si="46"/>
        <v>0</v>
      </c>
      <c r="Q54" s="254">
        <f t="shared" si="46"/>
        <v>0</v>
      </c>
      <c r="R54" s="254">
        <f t="shared" si="46"/>
        <v>0</v>
      </c>
      <c r="S54" s="254">
        <f t="shared" si="46"/>
        <v>0</v>
      </c>
      <c r="T54" s="254">
        <f t="shared" si="46"/>
        <v>0</v>
      </c>
      <c r="U54" s="254">
        <f t="shared" si="46"/>
        <v>0</v>
      </c>
      <c r="V54" s="254">
        <f t="shared" si="46"/>
        <v>0</v>
      </c>
      <c r="W54" s="254">
        <f t="shared" si="46"/>
        <v>0</v>
      </c>
      <c r="X54" s="254">
        <f t="shared" ref="X54:AG54" si="47">IF(X$46&lt;=$C$22,IF(X50&gt;$C$22,0,$C$30),0)</f>
        <v>0</v>
      </c>
      <c r="Y54" s="254">
        <f t="shared" si="47"/>
        <v>0</v>
      </c>
      <c r="Z54" s="254">
        <f t="shared" si="47"/>
        <v>0</v>
      </c>
      <c r="AA54" s="254">
        <f t="shared" si="47"/>
        <v>0</v>
      </c>
      <c r="AB54" s="254">
        <f t="shared" si="47"/>
        <v>0</v>
      </c>
      <c r="AC54" s="254">
        <f t="shared" si="47"/>
        <v>0</v>
      </c>
      <c r="AD54" s="254">
        <f t="shared" si="47"/>
        <v>0</v>
      </c>
      <c r="AE54" s="254">
        <f t="shared" si="47"/>
        <v>0</v>
      </c>
      <c r="AF54" s="254">
        <f t="shared" si="47"/>
        <v>0</v>
      </c>
      <c r="AG54" s="254">
        <f t="shared" si="47"/>
        <v>0</v>
      </c>
    </row>
    <row r="55" spans="1:33" ht="13.5" thickBot="1">
      <c r="A55" s="475"/>
      <c r="B55" s="256" t="str">
        <f>"Tarifa (COP/"&amp;D31&amp;")"</f>
        <v>Tarifa (COP/m3)</v>
      </c>
      <c r="C55" s="282"/>
      <c r="D55" s="281">
        <f>+D73</f>
        <v>0</v>
      </c>
      <c r="E55" s="281">
        <f>IF(E$46&lt;=$C$22,E73,0)</f>
        <v>0</v>
      </c>
      <c r="F55" s="281">
        <f t="shared" ref="F55:W55" si="48">IF(F$46&lt;=$C$22,F73,0)</f>
        <v>0</v>
      </c>
      <c r="G55" s="281">
        <f t="shared" si="48"/>
        <v>0</v>
      </c>
      <c r="H55" s="281">
        <f t="shared" si="48"/>
        <v>0</v>
      </c>
      <c r="I55" s="281">
        <f t="shared" si="48"/>
        <v>0</v>
      </c>
      <c r="J55" s="281">
        <f t="shared" si="48"/>
        <v>0</v>
      </c>
      <c r="K55" s="281">
        <f t="shared" si="48"/>
        <v>0</v>
      </c>
      <c r="L55" s="281">
        <f t="shared" si="48"/>
        <v>0</v>
      </c>
      <c r="M55" s="281">
        <f t="shared" si="48"/>
        <v>0</v>
      </c>
      <c r="N55" s="258">
        <f t="shared" si="48"/>
        <v>0</v>
      </c>
      <c r="O55" s="258">
        <f t="shared" si="48"/>
        <v>0</v>
      </c>
      <c r="P55" s="258">
        <f t="shared" si="48"/>
        <v>0</v>
      </c>
      <c r="Q55" s="258">
        <f t="shared" si="48"/>
        <v>0</v>
      </c>
      <c r="R55" s="258">
        <f t="shared" si="48"/>
        <v>0</v>
      </c>
      <c r="S55" s="258">
        <f t="shared" si="48"/>
        <v>0</v>
      </c>
      <c r="T55" s="258">
        <f t="shared" si="48"/>
        <v>0</v>
      </c>
      <c r="U55" s="258">
        <f t="shared" si="48"/>
        <v>0</v>
      </c>
      <c r="V55" s="258">
        <f t="shared" si="48"/>
        <v>0</v>
      </c>
      <c r="W55" s="258">
        <f t="shared" si="48"/>
        <v>0</v>
      </c>
      <c r="X55" s="258">
        <f t="shared" ref="X55:AG55" si="49">IF(X$46&lt;=$C$22,X73,0)</f>
        <v>0</v>
      </c>
      <c r="Y55" s="258">
        <f t="shared" si="49"/>
        <v>0</v>
      </c>
      <c r="Z55" s="258">
        <f t="shared" si="49"/>
        <v>0</v>
      </c>
      <c r="AA55" s="258">
        <f t="shared" si="49"/>
        <v>0</v>
      </c>
      <c r="AB55" s="258">
        <f t="shared" si="49"/>
        <v>0</v>
      </c>
      <c r="AC55" s="258">
        <f t="shared" si="49"/>
        <v>0</v>
      </c>
      <c r="AD55" s="258">
        <f t="shared" si="49"/>
        <v>0</v>
      </c>
      <c r="AE55" s="258">
        <f t="shared" si="49"/>
        <v>0</v>
      </c>
      <c r="AF55" s="258">
        <f t="shared" si="49"/>
        <v>0</v>
      </c>
      <c r="AG55" s="258">
        <f t="shared" si="49"/>
        <v>0</v>
      </c>
    </row>
    <row r="56" spans="1:33">
      <c r="A56" s="474" t="s">
        <v>24</v>
      </c>
      <c r="B56" s="256" t="str">
        <f>"Ahorro ("&amp;D31&amp;")"</f>
        <v>Ahorro (m3)</v>
      </c>
      <c r="C56" s="282"/>
      <c r="D56" s="254">
        <f>IF(D46&gt;$C$22,0,$C$31)</f>
        <v>0</v>
      </c>
      <c r="E56" s="254">
        <f>IF(E$46&lt;=$C$22,IF(E46&gt;$C$22,0,$C$31),0)</f>
        <v>0</v>
      </c>
      <c r="F56" s="254">
        <f t="shared" ref="F56:W56" si="50">IF(F$46&lt;=$C$22,IF(F46&gt;$C$22,0,$C$31),0)</f>
        <v>0</v>
      </c>
      <c r="G56" s="254">
        <f t="shared" si="50"/>
        <v>0</v>
      </c>
      <c r="H56" s="254">
        <f t="shared" si="50"/>
        <v>0</v>
      </c>
      <c r="I56" s="254">
        <f t="shared" si="50"/>
        <v>0</v>
      </c>
      <c r="J56" s="254">
        <f t="shared" si="50"/>
        <v>0</v>
      </c>
      <c r="K56" s="254">
        <f t="shared" si="50"/>
        <v>0</v>
      </c>
      <c r="L56" s="254">
        <f t="shared" si="50"/>
        <v>0</v>
      </c>
      <c r="M56" s="254">
        <f t="shared" si="50"/>
        <v>0</v>
      </c>
      <c r="N56" s="254">
        <f t="shared" si="50"/>
        <v>0</v>
      </c>
      <c r="O56" s="254">
        <f t="shared" si="50"/>
        <v>0</v>
      </c>
      <c r="P56" s="254">
        <f t="shared" si="50"/>
        <v>0</v>
      </c>
      <c r="Q56" s="254">
        <f t="shared" si="50"/>
        <v>0</v>
      </c>
      <c r="R56" s="254">
        <f t="shared" si="50"/>
        <v>0</v>
      </c>
      <c r="S56" s="254">
        <f t="shared" si="50"/>
        <v>0</v>
      </c>
      <c r="T56" s="254">
        <f t="shared" si="50"/>
        <v>0</v>
      </c>
      <c r="U56" s="254">
        <f t="shared" si="50"/>
        <v>0</v>
      </c>
      <c r="V56" s="254">
        <f t="shared" si="50"/>
        <v>0</v>
      </c>
      <c r="W56" s="254">
        <f t="shared" si="50"/>
        <v>0</v>
      </c>
      <c r="X56" s="254">
        <f t="shared" ref="X56:AG56" si="51">IF(X$46&lt;=$C$22,IF(X46&gt;$C$22,0,$C$31),0)</f>
        <v>0</v>
      </c>
      <c r="Y56" s="254">
        <f t="shared" si="51"/>
        <v>0</v>
      </c>
      <c r="Z56" s="254">
        <f t="shared" si="51"/>
        <v>0</v>
      </c>
      <c r="AA56" s="254">
        <f t="shared" si="51"/>
        <v>0</v>
      </c>
      <c r="AB56" s="254">
        <f t="shared" si="51"/>
        <v>0</v>
      </c>
      <c r="AC56" s="254">
        <f t="shared" si="51"/>
        <v>0</v>
      </c>
      <c r="AD56" s="254">
        <f t="shared" si="51"/>
        <v>0</v>
      </c>
      <c r="AE56" s="254">
        <f t="shared" si="51"/>
        <v>0</v>
      </c>
      <c r="AF56" s="254">
        <f t="shared" si="51"/>
        <v>0</v>
      </c>
      <c r="AG56" s="254">
        <f t="shared" si="51"/>
        <v>0</v>
      </c>
    </row>
    <row r="57" spans="1:33" ht="13.5" thickBot="1">
      <c r="A57" s="475"/>
      <c r="B57" s="256" t="str">
        <f>"Tarifa (COP/"&amp;D31&amp;")"</f>
        <v>Tarifa (COP/m3)</v>
      </c>
      <c r="C57" s="282"/>
      <c r="D57" s="281">
        <f>+D74</f>
        <v>0</v>
      </c>
      <c r="E57" s="281">
        <f>IF(E$46&lt;=$C$22,+E74,0)</f>
        <v>0</v>
      </c>
      <c r="F57" s="281">
        <f t="shared" ref="F57:W57" si="52">IF(F$46&lt;=$C$22,+F74,0)</f>
        <v>0</v>
      </c>
      <c r="G57" s="281">
        <f t="shared" si="52"/>
        <v>0</v>
      </c>
      <c r="H57" s="281">
        <f t="shared" si="52"/>
        <v>0</v>
      </c>
      <c r="I57" s="281">
        <f t="shared" si="52"/>
        <v>0</v>
      </c>
      <c r="J57" s="281">
        <f t="shared" si="52"/>
        <v>0</v>
      </c>
      <c r="K57" s="281">
        <f t="shared" si="52"/>
        <v>0</v>
      </c>
      <c r="L57" s="281">
        <f t="shared" si="52"/>
        <v>0</v>
      </c>
      <c r="M57" s="281">
        <f t="shared" si="52"/>
        <v>0</v>
      </c>
      <c r="N57" s="257">
        <f t="shared" si="52"/>
        <v>0</v>
      </c>
      <c r="O57" s="257">
        <f t="shared" si="52"/>
        <v>0</v>
      </c>
      <c r="P57" s="257">
        <f t="shared" si="52"/>
        <v>0</v>
      </c>
      <c r="Q57" s="257">
        <f t="shared" si="52"/>
        <v>0</v>
      </c>
      <c r="R57" s="257">
        <f t="shared" si="52"/>
        <v>0</v>
      </c>
      <c r="S57" s="257">
        <f t="shared" si="52"/>
        <v>0</v>
      </c>
      <c r="T57" s="257">
        <f t="shared" si="52"/>
        <v>0</v>
      </c>
      <c r="U57" s="257">
        <f t="shared" si="52"/>
        <v>0</v>
      </c>
      <c r="V57" s="257">
        <f t="shared" si="52"/>
        <v>0</v>
      </c>
      <c r="W57" s="257">
        <f t="shared" si="52"/>
        <v>0</v>
      </c>
      <c r="X57" s="257">
        <f t="shared" ref="X57:AG57" si="53">IF(X$46&lt;=$C$22,+X74,0)</f>
        <v>0</v>
      </c>
      <c r="Y57" s="257">
        <f t="shared" si="53"/>
        <v>0</v>
      </c>
      <c r="Z57" s="257">
        <f t="shared" si="53"/>
        <v>0</v>
      </c>
      <c r="AA57" s="257">
        <f t="shared" si="53"/>
        <v>0</v>
      </c>
      <c r="AB57" s="257">
        <f t="shared" si="53"/>
        <v>0</v>
      </c>
      <c r="AC57" s="257">
        <f t="shared" si="53"/>
        <v>0</v>
      </c>
      <c r="AD57" s="257">
        <f t="shared" si="53"/>
        <v>0</v>
      </c>
      <c r="AE57" s="257">
        <f t="shared" si="53"/>
        <v>0</v>
      </c>
      <c r="AF57" s="257">
        <f t="shared" si="53"/>
        <v>0</v>
      </c>
      <c r="AG57" s="257">
        <f t="shared" si="53"/>
        <v>0</v>
      </c>
    </row>
    <row r="58" spans="1:33">
      <c r="A58" s="255" t="s">
        <v>6</v>
      </c>
      <c r="B58" s="256" t="str">
        <f>"Ahorro ("&amp;D32&amp;")"</f>
        <v>Ahorro (COP)</v>
      </c>
      <c r="C58" s="282"/>
      <c r="D58" s="281">
        <f>+C32</f>
        <v>0</v>
      </c>
      <c r="E58" s="281">
        <f>IF(E$46&lt;=$C$22,IF(E46&gt;$C$22,0,$C$32*(1+Mantenimiento!E9)),0)</f>
        <v>0</v>
      </c>
      <c r="F58" s="281">
        <f>IF(F$46&lt;=$C$22,IF(F46&gt;$C$22,0,$C$32*(1+Mantenimiento!F9)),0)</f>
        <v>0</v>
      </c>
      <c r="G58" s="281">
        <f>IF(G$46&lt;=$C$22,IF(G46&gt;$C$22,0,$C$32*(1+Mantenimiento!G9)),0)</f>
        <v>0</v>
      </c>
      <c r="H58" s="281">
        <f>IF(H$46&lt;=$C$22,IF(H46&gt;$C$22,0,$C$32*(1+Mantenimiento!H9)),0)</f>
        <v>0</v>
      </c>
      <c r="I58" s="281">
        <f>IF(I$46&lt;=$C$22,IF(I46&gt;$C$22,0,$C$32*(1+Mantenimiento!I9)),0)</f>
        <v>0</v>
      </c>
      <c r="J58" s="281">
        <f>IF(J$46&lt;=$C$22,IF(J46&gt;$C$22,0,$C$32*(1+Mantenimiento!J9)),0)</f>
        <v>0</v>
      </c>
      <c r="K58" s="281">
        <f>IF(K$46&lt;=$C$22,IF(K46&gt;$C$22,0,$C$32*(1+Mantenimiento!K9)),0)</f>
        <v>0</v>
      </c>
      <c r="L58" s="281">
        <f>IF(L$46&lt;=$C$22,IF(L46&gt;$C$22,0,$C$32*(1+Mantenimiento!L9)),0)</f>
        <v>0</v>
      </c>
      <c r="M58" s="281">
        <f>IF(M$46&lt;=$C$22,IF(M46&gt;$C$22,0,$C$32*(1+Mantenimiento!M9)),0)</f>
        <v>0</v>
      </c>
      <c r="N58" s="254">
        <f>IF(N$46&lt;=$C$22,IF(N46&gt;$C$22,0,$C$32*(1+Mantenimiento!N9)),0)</f>
        <v>0</v>
      </c>
      <c r="O58" s="254">
        <f>IF(O$46&lt;=$C$22,IF(O46&gt;$C$22,0,$C$32*(1+Mantenimiento!O9)),0)</f>
        <v>0</v>
      </c>
      <c r="P58" s="254">
        <f>IF(P$46&lt;=$C$22,IF(P46&gt;$C$22,0,$C$32*(1+Mantenimiento!P9)),0)</f>
        <v>0</v>
      </c>
      <c r="Q58" s="254">
        <f>IF(Q$46&lt;=$C$22,IF(Q46&gt;$C$22,0,$C$32*(1+Mantenimiento!Q9)),0)</f>
        <v>0</v>
      </c>
      <c r="R58" s="254">
        <f>IF(R$46&lt;=$C$22,IF(R46&gt;$C$22,0,$C$32*(1+Mantenimiento!R9)),0)</f>
        <v>0</v>
      </c>
      <c r="S58" s="254">
        <f>IF(S$46&lt;=$C$22,IF(S46&gt;$C$22,0,$C$32*(1+Mantenimiento!S9)),0)</f>
        <v>0</v>
      </c>
      <c r="T58" s="254">
        <f>IF(T$46&lt;=$C$22,IF(T46&gt;$C$22,0,$C$32*(1+Mantenimiento!T9)),0)</f>
        <v>0</v>
      </c>
      <c r="U58" s="254">
        <f>IF(U$46&lt;=$C$22,IF(U46&gt;$C$22,0,$C$32*(1+Mantenimiento!U9)),0)</f>
        <v>0</v>
      </c>
      <c r="V58" s="254">
        <f>IF(V$46&lt;=$C$22,IF(V46&gt;$C$22,0,$C$32*(1+Mantenimiento!V9)),0)</f>
        <v>0</v>
      </c>
      <c r="W58" s="254">
        <f>IF(W$46&lt;=$C$22,IF(W46&gt;$C$22,0,$C$32*(1+Mantenimiento!W9)),0)</f>
        <v>0</v>
      </c>
      <c r="X58" s="254">
        <f>IF(X$46&lt;=$C$22,IF(X46&gt;$C$22,0,$C$32*(1+Mantenimiento!X9)),0)</f>
        <v>0</v>
      </c>
      <c r="Y58" s="254">
        <f>IF(Y$46&lt;=$C$22,IF(Y46&gt;$C$22,0,$C$32*(1+Mantenimiento!Y9)),0)</f>
        <v>0</v>
      </c>
      <c r="Z58" s="254">
        <f>IF(Z$46&lt;=$C$22,IF(Z46&gt;$C$22,0,$C$32*(1+Mantenimiento!Z9)),0)</f>
        <v>0</v>
      </c>
      <c r="AA58" s="254">
        <f>IF(AA$46&lt;=$C$22,IF(AA46&gt;$C$22,0,$C$32*(1+Mantenimiento!AA9)),0)</f>
        <v>0</v>
      </c>
      <c r="AB58" s="254">
        <f>IF(AB$46&lt;=$C$22,IF(AB46&gt;$C$22,0,$C$32*(1+Mantenimiento!AB9)),0)</f>
        <v>0</v>
      </c>
      <c r="AC58" s="254">
        <f>IF(AC$46&lt;=$C$22,IF(AC46&gt;$C$22,0,$C$32*(1+Mantenimiento!AC9)),0)</f>
        <v>0</v>
      </c>
      <c r="AD58" s="254">
        <f>IF(AD$46&lt;=$C$22,IF(AD46&gt;$C$22,0,$C$32*(1+Mantenimiento!AD9)),0)</f>
        <v>0</v>
      </c>
      <c r="AE58" s="254">
        <f>IF(AE$46&lt;=$C$22,IF(AE46&gt;$C$22,0,$C$32*(1+Mantenimiento!AE9)),0)</f>
        <v>0</v>
      </c>
      <c r="AF58" s="254">
        <f>IF(AF$46&lt;=$C$22,IF(AF46&gt;$C$22,0,$C$32*(1+Mantenimiento!AF9)),0)</f>
        <v>0</v>
      </c>
      <c r="AG58" s="254">
        <f>IF(AG$46&lt;=$C$22,IF(AG46&gt;$C$22,0,$C$32*(1+Mantenimiento!AG9)),0)</f>
        <v>0</v>
      </c>
    </row>
    <row r="59" spans="1:33">
      <c r="B59" s="245" t="s">
        <v>302</v>
      </c>
      <c r="C59" s="281">
        <v>12000000</v>
      </c>
      <c r="D59" s="281">
        <v>12000000</v>
      </c>
      <c r="E59" s="281">
        <v>12000000</v>
      </c>
      <c r="F59" s="281">
        <v>12000000</v>
      </c>
      <c r="G59" s="281">
        <v>12000000</v>
      </c>
      <c r="H59" s="281">
        <v>12000000</v>
      </c>
      <c r="I59" s="281">
        <v>12000000</v>
      </c>
      <c r="J59" s="281">
        <v>12000000</v>
      </c>
      <c r="K59" s="281">
        <v>12000000</v>
      </c>
      <c r="L59" s="281">
        <v>12000000</v>
      </c>
      <c r="M59" s="281">
        <v>12000000</v>
      </c>
      <c r="N59" s="281">
        <v>12000000</v>
      </c>
      <c r="O59" s="281">
        <v>12000000</v>
      </c>
      <c r="P59" s="281">
        <v>12000000</v>
      </c>
      <c r="Q59" s="281">
        <v>12000000</v>
      </c>
      <c r="R59" s="281">
        <v>12000000</v>
      </c>
      <c r="S59" s="281">
        <v>12000000</v>
      </c>
      <c r="T59" s="281">
        <v>12000000</v>
      </c>
      <c r="U59" s="281">
        <v>12000000</v>
      </c>
      <c r="V59" s="281">
        <v>12000000</v>
      </c>
      <c r="W59" s="281">
        <v>12000000</v>
      </c>
      <c r="X59" s="281">
        <v>12000000</v>
      </c>
      <c r="Y59" s="281">
        <v>12000000</v>
      </c>
      <c r="Z59" s="281">
        <v>12000000</v>
      </c>
      <c r="AA59" s="281">
        <v>12000000</v>
      </c>
      <c r="AB59" s="281">
        <v>12000000</v>
      </c>
      <c r="AC59" s="254"/>
      <c r="AD59" s="254"/>
      <c r="AE59" s="254"/>
      <c r="AF59" s="254"/>
      <c r="AG59" s="254"/>
    </row>
    <row r="60" spans="1:33">
      <c r="B60" s="259" t="s">
        <v>274</v>
      </c>
      <c r="C60" s="283">
        <f>C47-C59</f>
        <v>-12000000</v>
      </c>
      <c r="D60" s="283">
        <f>D47-D59</f>
        <v>151778415.68791106</v>
      </c>
      <c r="E60" s="283">
        <f>IF(E$46&lt;=$C$22,E47-E59,0)</f>
        <v>159967336.47230661</v>
      </c>
      <c r="F60" s="283">
        <f t="shared" ref="F60:W60" si="54">IF(F$46&lt;=$C$22,F47-F59,0)</f>
        <v>168565703.29592198</v>
      </c>
      <c r="G60" s="283">
        <f t="shared" si="54"/>
        <v>177593988.46071807</v>
      </c>
      <c r="H60" s="283">
        <f t="shared" si="54"/>
        <v>187073687.88375396</v>
      </c>
      <c r="I60" s="283">
        <f t="shared" si="54"/>
        <v>197027372.27794167</v>
      </c>
      <c r="J60" s="283">
        <f t="shared" si="54"/>
        <v>207478740.89183876</v>
      </c>
      <c r="K60" s="283">
        <f t="shared" si="54"/>
        <v>218452677.93643072</v>
      </c>
      <c r="L60" s="283">
        <f t="shared" si="54"/>
        <v>229975311.83325228</v>
      </c>
      <c r="M60" s="283">
        <f t="shared" si="54"/>
        <v>242074077.42491487</v>
      </c>
      <c r="N60" s="260">
        <f t="shared" si="54"/>
        <v>254777781.29616064</v>
      </c>
      <c r="O60" s="260">
        <f t="shared" si="54"/>
        <v>268116670.36096865</v>
      </c>
      <c r="P60" s="260">
        <f t="shared" si="54"/>
        <v>282122503.87901711</v>
      </c>
      <c r="Q60" s="260">
        <f t="shared" si="54"/>
        <v>296828629.07296801</v>
      </c>
      <c r="R60" s="260">
        <f t="shared" si="54"/>
        <v>312270060.52661645</v>
      </c>
      <c r="S60" s="260">
        <f t="shared" si="54"/>
        <v>328483563.55294728</v>
      </c>
      <c r="T60" s="260">
        <f t="shared" si="54"/>
        <v>345507741.73059469</v>
      </c>
      <c r="U60" s="260">
        <f t="shared" si="54"/>
        <v>363383128.81712443</v>
      </c>
      <c r="V60" s="260">
        <f t="shared" si="54"/>
        <v>382152285.25798064</v>
      </c>
      <c r="W60" s="260">
        <f t="shared" si="54"/>
        <v>401859899.52087969</v>
      </c>
      <c r="X60" s="260">
        <f t="shared" ref="X60:AG60" si="55">IF(X$46&lt;=$C$22,X47-X59,0)</f>
        <v>422552894.49692369</v>
      </c>
      <c r="Y60" s="260">
        <f t="shared" si="55"/>
        <v>444280539.22176993</v>
      </c>
      <c r="Z60" s="260">
        <f t="shared" si="55"/>
        <v>467094566.18285841</v>
      </c>
      <c r="AA60" s="260">
        <f t="shared" si="55"/>
        <v>491049294.49200135</v>
      </c>
      <c r="AB60" s="260">
        <f t="shared" si="55"/>
        <v>516201759.21660143</v>
      </c>
      <c r="AC60" s="260">
        <f t="shared" si="55"/>
        <v>0</v>
      </c>
      <c r="AD60" s="260">
        <f t="shared" si="55"/>
        <v>0</v>
      </c>
      <c r="AE60" s="260">
        <f t="shared" si="55"/>
        <v>0</v>
      </c>
      <c r="AF60" s="260">
        <f t="shared" si="55"/>
        <v>0</v>
      </c>
      <c r="AG60" s="260">
        <f t="shared" si="55"/>
        <v>0</v>
      </c>
    </row>
    <row r="61" spans="1:33">
      <c r="B61" s="245" t="s">
        <v>282</v>
      </c>
      <c r="C61" s="281">
        <v>0</v>
      </c>
      <c r="D61" s="281">
        <f>IF(D46&gt;$C$23,0,$C$38/$C$23)</f>
        <v>-101883274.95999999</v>
      </c>
      <c r="E61" s="281">
        <f>IF(E$46&lt;=$C$22,IF(E46&gt;$C$23,0,$C$38/$C$23),0)</f>
        <v>-101883274.95999999</v>
      </c>
      <c r="F61" s="281">
        <f t="shared" ref="F61:W61" si="56">IF(F$46&lt;=$C$22,IF(F46&gt;$C$23,0,$C$38/$C$23),0)</f>
        <v>-101883274.95999999</v>
      </c>
      <c r="G61" s="281">
        <f t="shared" si="56"/>
        <v>-101883274.95999999</v>
      </c>
      <c r="H61" s="281">
        <f t="shared" si="56"/>
        <v>-101883274.95999999</v>
      </c>
      <c r="I61" s="281">
        <f t="shared" si="56"/>
        <v>-101883274.95999999</v>
      </c>
      <c r="J61" s="281">
        <f t="shared" si="56"/>
        <v>-101883274.95999999</v>
      </c>
      <c r="K61" s="281">
        <f t="shared" si="56"/>
        <v>-101883274.95999999</v>
      </c>
      <c r="L61" s="281">
        <f t="shared" si="56"/>
        <v>-101883274.95999999</v>
      </c>
      <c r="M61" s="281">
        <f t="shared" si="56"/>
        <v>-101883274.95999999</v>
      </c>
      <c r="N61" s="254">
        <f t="shared" si="56"/>
        <v>-101883274.95999999</v>
      </c>
      <c r="O61" s="254">
        <f t="shared" si="56"/>
        <v>-101883274.95999999</v>
      </c>
      <c r="P61" s="254">
        <f t="shared" si="56"/>
        <v>-101883274.95999999</v>
      </c>
      <c r="Q61" s="254">
        <f t="shared" si="56"/>
        <v>-101883274.95999999</v>
      </c>
      <c r="R61" s="254">
        <f t="shared" si="56"/>
        <v>-101883274.95999999</v>
      </c>
      <c r="S61" s="254">
        <f t="shared" si="56"/>
        <v>-101883274.95999999</v>
      </c>
      <c r="T61" s="254">
        <f t="shared" si="56"/>
        <v>-101883274.95999999</v>
      </c>
      <c r="U61" s="254">
        <f t="shared" si="56"/>
        <v>-101883274.95999999</v>
      </c>
      <c r="V61" s="254">
        <f t="shared" si="56"/>
        <v>-101883274.95999999</v>
      </c>
      <c r="W61" s="254">
        <f t="shared" si="56"/>
        <v>-101883274.95999999</v>
      </c>
      <c r="X61" s="254">
        <f t="shared" ref="X61:AG61" si="57">IF(X$46&lt;=$C$22,IF(X46&gt;$C$23,0,$C$38/$C$23),0)</f>
        <v>-101883274.95999999</v>
      </c>
      <c r="Y61" s="254">
        <f t="shared" si="57"/>
        <v>-101883274.95999999</v>
      </c>
      <c r="Z61" s="254">
        <f t="shared" si="57"/>
        <v>-101883274.95999999</v>
      </c>
      <c r="AA61" s="254">
        <f t="shared" si="57"/>
        <v>-101883274.95999999</v>
      </c>
      <c r="AB61" s="254">
        <f t="shared" si="57"/>
        <v>-101883274.95999999</v>
      </c>
      <c r="AC61" s="254">
        <f t="shared" si="57"/>
        <v>0</v>
      </c>
      <c r="AD61" s="254">
        <f t="shared" si="57"/>
        <v>0</v>
      </c>
      <c r="AE61" s="254">
        <f t="shared" si="57"/>
        <v>0</v>
      </c>
      <c r="AF61" s="254">
        <f t="shared" si="57"/>
        <v>0</v>
      </c>
      <c r="AG61" s="254">
        <f t="shared" si="57"/>
        <v>0</v>
      </c>
    </row>
    <row r="62" spans="1:33">
      <c r="B62" s="259" t="s">
        <v>283</v>
      </c>
      <c r="C62" s="283">
        <f>C60+C61</f>
        <v>-12000000</v>
      </c>
      <c r="D62" s="283">
        <f>D60+D61</f>
        <v>49895140.72791107</v>
      </c>
      <c r="E62" s="283">
        <f>IF(E$46&lt;=$C$22,E60+E61,0)</f>
        <v>58084061.512306616</v>
      </c>
      <c r="F62" s="283">
        <f t="shared" ref="F62:W62" si="58">IF(F$46&lt;=$C$22,F60+F61,0)</f>
        <v>66682428.335921988</v>
      </c>
      <c r="G62" s="283">
        <f t="shared" si="58"/>
        <v>75710713.500718072</v>
      </c>
      <c r="H62" s="283">
        <f t="shared" si="58"/>
        <v>85190412.923753962</v>
      </c>
      <c r="I62" s="283">
        <f t="shared" si="58"/>
        <v>95144097.317941681</v>
      </c>
      <c r="J62" s="283">
        <f t="shared" si="58"/>
        <v>105595465.93183877</v>
      </c>
      <c r="K62" s="283">
        <f t="shared" si="58"/>
        <v>116569402.97643073</v>
      </c>
      <c r="L62" s="283">
        <f t="shared" si="58"/>
        <v>128092036.87325229</v>
      </c>
      <c r="M62" s="283">
        <f t="shared" si="58"/>
        <v>140190802.46491486</v>
      </c>
      <c r="N62" s="260">
        <f t="shared" si="58"/>
        <v>152894506.33616066</v>
      </c>
      <c r="O62" s="260">
        <f t="shared" si="58"/>
        <v>166233395.40096867</v>
      </c>
      <c r="P62" s="260">
        <f t="shared" si="58"/>
        <v>180239228.91901714</v>
      </c>
      <c r="Q62" s="260">
        <f t="shared" si="58"/>
        <v>194945354.11296803</v>
      </c>
      <c r="R62" s="260">
        <f t="shared" si="58"/>
        <v>210386785.56661648</v>
      </c>
      <c r="S62" s="260">
        <f t="shared" si="58"/>
        <v>226600288.5929473</v>
      </c>
      <c r="T62" s="260">
        <f t="shared" si="58"/>
        <v>243624466.77059472</v>
      </c>
      <c r="U62" s="260">
        <f t="shared" si="58"/>
        <v>261499853.85712445</v>
      </c>
      <c r="V62" s="260">
        <f t="shared" si="58"/>
        <v>280269010.29798067</v>
      </c>
      <c r="W62" s="260">
        <f t="shared" si="58"/>
        <v>299976624.56087971</v>
      </c>
      <c r="X62" s="260">
        <f t="shared" ref="X62:AG62" si="59">IF(X$46&lt;=$C$22,X60+X61,0)</f>
        <v>320669619.53692371</v>
      </c>
      <c r="Y62" s="260">
        <f t="shared" si="59"/>
        <v>342397264.26176995</v>
      </c>
      <c r="Z62" s="260">
        <f t="shared" si="59"/>
        <v>365211291.22285843</v>
      </c>
      <c r="AA62" s="260">
        <f t="shared" si="59"/>
        <v>389166019.53200138</v>
      </c>
      <c r="AB62" s="260">
        <f t="shared" si="59"/>
        <v>414318484.25660145</v>
      </c>
      <c r="AC62" s="260">
        <f t="shared" si="59"/>
        <v>0</v>
      </c>
      <c r="AD62" s="260">
        <f t="shared" si="59"/>
        <v>0</v>
      </c>
      <c r="AE62" s="260">
        <f t="shared" si="59"/>
        <v>0</v>
      </c>
      <c r="AF62" s="260">
        <f t="shared" si="59"/>
        <v>0</v>
      </c>
      <c r="AG62" s="260">
        <f t="shared" si="59"/>
        <v>0</v>
      </c>
    </row>
    <row r="63" spans="1:33">
      <c r="B63" s="245" t="s">
        <v>275</v>
      </c>
      <c r="C63" s="281">
        <f>-IF(C69&gt;0,C62*$C$33/100,0)</f>
        <v>0</v>
      </c>
      <c r="D63" s="281">
        <f>-D62*$C$33/100</f>
        <v>-174632.99254768874</v>
      </c>
      <c r="E63" s="281">
        <f>IF(E$46&lt;=$C$22,-E62*$C$33/100,0)</f>
        <v>-203294.21529307312</v>
      </c>
      <c r="F63" s="281">
        <f t="shared" ref="F63:W63" si="60">IF(F$46&lt;=$C$22,-F62*$C$33/100,0)</f>
        <v>-233388.49917572696</v>
      </c>
      <c r="G63" s="281">
        <f t="shared" si="60"/>
        <v>-264987.49725251325</v>
      </c>
      <c r="H63" s="281">
        <f t="shared" si="60"/>
        <v>-298166.44523313886</v>
      </c>
      <c r="I63" s="281">
        <f t="shared" si="60"/>
        <v>-333004.3406127959</v>
      </c>
      <c r="J63" s="281">
        <f t="shared" si="60"/>
        <v>-369584.1307614356</v>
      </c>
      <c r="K63" s="281">
        <f t="shared" si="60"/>
        <v>-407992.91041750752</v>
      </c>
      <c r="L63" s="281">
        <f t="shared" si="60"/>
        <v>-448322.12905638298</v>
      </c>
      <c r="M63" s="281">
        <f t="shared" si="60"/>
        <v>-490667.808627202</v>
      </c>
      <c r="N63" s="254">
        <f t="shared" si="60"/>
        <v>-535130.77217656223</v>
      </c>
      <c r="O63" s="254">
        <f t="shared" si="60"/>
        <v>-581816.88390339026</v>
      </c>
      <c r="P63" s="254">
        <f t="shared" si="60"/>
        <v>-630837.30121655995</v>
      </c>
      <c r="Q63" s="254">
        <f t="shared" si="60"/>
        <v>-682308.73939538805</v>
      </c>
      <c r="R63" s="254">
        <f t="shared" si="60"/>
        <v>-736353.74948315753</v>
      </c>
      <c r="S63" s="254">
        <f t="shared" si="60"/>
        <v>-793101.01007531548</v>
      </c>
      <c r="T63" s="254">
        <f t="shared" si="60"/>
        <v>-852685.63369708147</v>
      </c>
      <c r="U63" s="254">
        <f t="shared" si="60"/>
        <v>-915249.4884999356</v>
      </c>
      <c r="V63" s="254">
        <f t="shared" si="60"/>
        <v>-980941.5360429323</v>
      </c>
      <c r="W63" s="254">
        <f t="shared" si="60"/>
        <v>-1049918.1859630789</v>
      </c>
      <c r="X63" s="254">
        <f t="shared" ref="X63:AG63" si="61">IF(X$46&lt;=$C$22,-X62*$C$33/100,0)</f>
        <v>-1122343.668379233</v>
      </c>
      <c r="Y63" s="254">
        <f t="shared" si="61"/>
        <v>-1198390.4249161948</v>
      </c>
      <c r="Z63" s="254">
        <f t="shared" si="61"/>
        <v>-1278239.5192800043</v>
      </c>
      <c r="AA63" s="254">
        <f t="shared" si="61"/>
        <v>-1362081.0683620048</v>
      </c>
      <c r="AB63" s="254">
        <f t="shared" si="61"/>
        <v>-1450114.694898105</v>
      </c>
      <c r="AC63" s="254">
        <f t="shared" si="61"/>
        <v>0</v>
      </c>
      <c r="AD63" s="254">
        <f t="shared" si="61"/>
        <v>0</v>
      </c>
      <c r="AE63" s="254">
        <f t="shared" si="61"/>
        <v>0</v>
      </c>
      <c r="AF63" s="254">
        <f t="shared" si="61"/>
        <v>0</v>
      </c>
      <c r="AG63" s="254">
        <f t="shared" si="61"/>
        <v>0</v>
      </c>
    </row>
    <row r="64" spans="1:33" ht="18" customHeight="1">
      <c r="B64" s="247" t="s">
        <v>284</v>
      </c>
      <c r="C64" s="284">
        <f>C62+C63</f>
        <v>-12000000</v>
      </c>
      <c r="D64" s="284">
        <f>D62+D63</f>
        <v>49720507.735363379</v>
      </c>
      <c r="E64" s="284">
        <f>IF(E$46&lt;=$C$22,E62+E63,0)</f>
        <v>57880767.297013544</v>
      </c>
      <c r="F64" s="284">
        <f t="shared" ref="F64:W64" si="62">IF(F$46&lt;=$C$22,F62+F63,0)</f>
        <v>66449039.836746261</v>
      </c>
      <c r="G64" s="284">
        <f t="shared" si="62"/>
        <v>75445726.003465563</v>
      </c>
      <c r="H64" s="284">
        <f t="shared" si="62"/>
        <v>84892246.478520826</v>
      </c>
      <c r="I64" s="284">
        <f t="shared" si="62"/>
        <v>94811092.977328882</v>
      </c>
      <c r="J64" s="284">
        <f t="shared" si="62"/>
        <v>105225881.80107734</v>
      </c>
      <c r="K64" s="284">
        <f t="shared" si="62"/>
        <v>116161410.06601322</v>
      </c>
      <c r="L64" s="284">
        <f t="shared" si="62"/>
        <v>127643714.74419591</v>
      </c>
      <c r="M64" s="284">
        <f t="shared" si="62"/>
        <v>139700134.65628767</v>
      </c>
      <c r="N64" s="261">
        <f t="shared" si="62"/>
        <v>152359375.5639841</v>
      </c>
      <c r="O64" s="261">
        <f t="shared" si="62"/>
        <v>165651578.51706529</v>
      </c>
      <c r="P64" s="261">
        <f t="shared" si="62"/>
        <v>179608391.61780056</v>
      </c>
      <c r="Q64" s="261">
        <f t="shared" si="62"/>
        <v>194263045.37357265</v>
      </c>
      <c r="R64" s="261">
        <f t="shared" si="62"/>
        <v>209650431.81713331</v>
      </c>
      <c r="S64" s="261">
        <f t="shared" si="62"/>
        <v>225807187.582872</v>
      </c>
      <c r="T64" s="261">
        <f t="shared" si="62"/>
        <v>242771781.13689762</v>
      </c>
      <c r="U64" s="261">
        <f t="shared" si="62"/>
        <v>260584604.36862451</v>
      </c>
      <c r="V64" s="261">
        <f t="shared" si="62"/>
        <v>279288068.76193774</v>
      </c>
      <c r="W64" s="261">
        <f t="shared" si="62"/>
        <v>298926706.37491661</v>
      </c>
      <c r="X64" s="261">
        <f t="shared" ref="X64:AG64" si="63">IF(X$46&lt;=$C$22,X62+X63,0)</f>
        <v>319547275.86854446</v>
      </c>
      <c r="Y64" s="261">
        <f t="shared" si="63"/>
        <v>341198873.83685374</v>
      </c>
      <c r="Z64" s="261">
        <f t="shared" si="63"/>
        <v>363933051.70357841</v>
      </c>
      <c r="AA64" s="261">
        <f t="shared" si="63"/>
        <v>387803938.46363938</v>
      </c>
      <c r="AB64" s="261">
        <f t="shared" si="63"/>
        <v>412868369.56170332</v>
      </c>
      <c r="AC64" s="261">
        <f t="shared" si="63"/>
        <v>0</v>
      </c>
      <c r="AD64" s="261">
        <f t="shared" si="63"/>
        <v>0</v>
      </c>
      <c r="AE64" s="261">
        <f t="shared" si="63"/>
        <v>0</v>
      </c>
      <c r="AF64" s="261">
        <f t="shared" si="63"/>
        <v>0</v>
      </c>
      <c r="AG64" s="261">
        <f t="shared" si="63"/>
        <v>0</v>
      </c>
    </row>
    <row r="65" spans="1:33">
      <c r="B65" s="245" t="s">
        <v>282</v>
      </c>
      <c r="C65" s="281">
        <v>0</v>
      </c>
      <c r="D65" s="281">
        <f>ABS(IF(D46&gt;$C$23,0,$C$38/$C$23))</f>
        <v>101883274.95999999</v>
      </c>
      <c r="E65" s="281">
        <f>IF(E$46&lt;=$C$22,ABS(IF(E46&gt;$C$23,0,$C$38/$C$23)),0)</f>
        <v>101883274.95999999</v>
      </c>
      <c r="F65" s="281">
        <f t="shared" ref="F65:W65" si="64">IF(F$46&lt;=$C$22,ABS(IF(F46&gt;$C$23,0,$C$38/$C$23)),0)</f>
        <v>101883274.95999999</v>
      </c>
      <c r="G65" s="281">
        <f t="shared" si="64"/>
        <v>101883274.95999999</v>
      </c>
      <c r="H65" s="281">
        <f t="shared" si="64"/>
        <v>101883274.95999999</v>
      </c>
      <c r="I65" s="281">
        <f t="shared" si="64"/>
        <v>101883274.95999999</v>
      </c>
      <c r="J65" s="281">
        <f t="shared" si="64"/>
        <v>101883274.95999999</v>
      </c>
      <c r="K65" s="281">
        <f t="shared" si="64"/>
        <v>101883274.95999999</v>
      </c>
      <c r="L65" s="281">
        <f t="shared" si="64"/>
        <v>101883274.95999999</v>
      </c>
      <c r="M65" s="281">
        <f t="shared" si="64"/>
        <v>101883274.95999999</v>
      </c>
      <c r="N65" s="254">
        <f t="shared" si="64"/>
        <v>101883274.95999999</v>
      </c>
      <c r="O65" s="254">
        <f t="shared" si="64"/>
        <v>101883274.95999999</v>
      </c>
      <c r="P65" s="254">
        <f t="shared" si="64"/>
        <v>101883274.95999999</v>
      </c>
      <c r="Q65" s="254">
        <f t="shared" si="64"/>
        <v>101883274.95999999</v>
      </c>
      <c r="R65" s="254">
        <f t="shared" si="64"/>
        <v>101883274.95999999</v>
      </c>
      <c r="S65" s="254">
        <f t="shared" si="64"/>
        <v>101883274.95999999</v>
      </c>
      <c r="T65" s="254">
        <f t="shared" si="64"/>
        <v>101883274.95999999</v>
      </c>
      <c r="U65" s="254">
        <f t="shared" si="64"/>
        <v>101883274.95999999</v>
      </c>
      <c r="V65" s="254">
        <f t="shared" si="64"/>
        <v>101883274.95999999</v>
      </c>
      <c r="W65" s="254">
        <f t="shared" si="64"/>
        <v>101883274.95999999</v>
      </c>
      <c r="X65" s="254">
        <f t="shared" ref="X65:AG65" si="65">IF(X$46&lt;=$C$22,ABS(IF(X46&gt;$C$23,0,$C$38/$C$23)),0)</f>
        <v>101883274.95999999</v>
      </c>
      <c r="Y65" s="254">
        <f t="shared" si="65"/>
        <v>101883274.95999999</v>
      </c>
      <c r="Z65" s="254">
        <f t="shared" si="65"/>
        <v>101883274.95999999</v>
      </c>
      <c r="AA65" s="254">
        <f t="shared" si="65"/>
        <v>101883274.95999999</v>
      </c>
      <c r="AB65" s="254">
        <f t="shared" si="65"/>
        <v>101883274.95999999</v>
      </c>
      <c r="AC65" s="254">
        <f t="shared" si="65"/>
        <v>0</v>
      </c>
      <c r="AD65" s="254">
        <f t="shared" si="65"/>
        <v>0</v>
      </c>
      <c r="AE65" s="254">
        <f t="shared" si="65"/>
        <v>0</v>
      </c>
      <c r="AF65" s="254">
        <f t="shared" si="65"/>
        <v>0</v>
      </c>
      <c r="AG65" s="254">
        <f t="shared" si="65"/>
        <v>0</v>
      </c>
    </row>
    <row r="66" spans="1:33" ht="15">
      <c r="B66" s="247" t="s">
        <v>285</v>
      </c>
      <c r="C66" s="284">
        <f>+C64+C65</f>
        <v>-12000000</v>
      </c>
      <c r="D66" s="284">
        <f>+D64+D65</f>
        <v>151603782.69536337</v>
      </c>
      <c r="E66" s="284">
        <f>IF(E$46&lt;=$C$22,E64+E65,0)</f>
        <v>159764042.25701353</v>
      </c>
      <c r="F66" s="284">
        <f t="shared" ref="F66:W66" si="66">IF(F$46&lt;=$C$22,F64+F65,0)</f>
        <v>168332314.79674625</v>
      </c>
      <c r="G66" s="284">
        <f t="shared" si="66"/>
        <v>177329000.96346557</v>
      </c>
      <c r="H66" s="284">
        <f t="shared" si="66"/>
        <v>186775521.43852082</v>
      </c>
      <c r="I66" s="284">
        <f t="shared" si="66"/>
        <v>196694367.93732888</v>
      </c>
      <c r="J66" s="284">
        <f t="shared" si="66"/>
        <v>207109156.76107734</v>
      </c>
      <c r="K66" s="284">
        <f t="shared" si="66"/>
        <v>218044685.0260132</v>
      </c>
      <c r="L66" s="284">
        <f t="shared" si="66"/>
        <v>229526989.70419592</v>
      </c>
      <c r="M66" s="284">
        <f t="shared" si="66"/>
        <v>241583409.61628765</v>
      </c>
      <c r="N66" s="261">
        <f t="shared" si="66"/>
        <v>254242650.52398407</v>
      </c>
      <c r="O66" s="261">
        <f t="shared" si="66"/>
        <v>267534853.47706527</v>
      </c>
      <c r="P66" s="261">
        <f t="shared" si="66"/>
        <v>281491666.57780057</v>
      </c>
      <c r="Q66" s="261">
        <f t="shared" si="66"/>
        <v>296146320.33357263</v>
      </c>
      <c r="R66" s="261">
        <f t="shared" si="66"/>
        <v>311533706.77713329</v>
      </c>
      <c r="S66" s="261">
        <f t="shared" si="66"/>
        <v>327690462.54287201</v>
      </c>
      <c r="T66" s="261">
        <f t="shared" si="66"/>
        <v>344655056.0968976</v>
      </c>
      <c r="U66" s="261">
        <f t="shared" si="66"/>
        <v>362467879.32862449</v>
      </c>
      <c r="V66" s="261">
        <f t="shared" si="66"/>
        <v>381171343.72193772</v>
      </c>
      <c r="W66" s="261">
        <f t="shared" si="66"/>
        <v>400809981.33491659</v>
      </c>
      <c r="X66" s="261">
        <f t="shared" ref="X66:AG66" si="67">IF(X$46&lt;=$C$22,X64+X65,0)</f>
        <v>421430550.82854444</v>
      </c>
      <c r="Y66" s="261">
        <f t="shared" si="67"/>
        <v>443082148.79685372</v>
      </c>
      <c r="Z66" s="261">
        <f t="shared" si="67"/>
        <v>465816326.66357839</v>
      </c>
      <c r="AA66" s="261">
        <f t="shared" si="67"/>
        <v>489687213.42363936</v>
      </c>
      <c r="AB66" s="261">
        <f t="shared" si="67"/>
        <v>514751644.5217033</v>
      </c>
      <c r="AC66" s="261">
        <f t="shared" si="67"/>
        <v>0</v>
      </c>
      <c r="AD66" s="261">
        <f t="shared" si="67"/>
        <v>0</v>
      </c>
      <c r="AE66" s="261">
        <f t="shared" si="67"/>
        <v>0</v>
      </c>
      <c r="AF66" s="261">
        <f t="shared" si="67"/>
        <v>0</v>
      </c>
      <c r="AG66" s="261">
        <f t="shared" si="67"/>
        <v>0</v>
      </c>
    </row>
    <row r="68" spans="1:33" ht="15">
      <c r="B68" s="262" t="s">
        <v>286</v>
      </c>
      <c r="C68" s="288"/>
      <c r="D68" s="288"/>
      <c r="E68" s="288"/>
      <c r="F68" s="288"/>
    </row>
    <row r="69" spans="1:33" ht="15.75" thickBot="1">
      <c r="B69" s="251" t="s">
        <v>287</v>
      </c>
      <c r="C69" s="252">
        <v>0</v>
      </c>
      <c r="D69" s="252">
        <v>1</v>
      </c>
      <c r="E69" s="252">
        <v>2</v>
      </c>
      <c r="F69" s="252">
        <v>3</v>
      </c>
      <c r="G69" s="252">
        <v>4</v>
      </c>
      <c r="H69" s="252">
        <v>5</v>
      </c>
      <c r="I69" s="252">
        <v>6</v>
      </c>
      <c r="J69" s="252">
        <v>7</v>
      </c>
      <c r="K69" s="252">
        <v>8</v>
      </c>
      <c r="L69" s="252">
        <v>9</v>
      </c>
      <c r="M69" s="252">
        <v>10</v>
      </c>
      <c r="N69" s="252">
        <v>11</v>
      </c>
      <c r="O69" s="252">
        <v>12</v>
      </c>
      <c r="P69" s="252">
        <v>13</v>
      </c>
      <c r="Q69" s="252">
        <v>14</v>
      </c>
      <c r="R69" s="252">
        <v>15</v>
      </c>
      <c r="S69" s="252">
        <v>16</v>
      </c>
      <c r="T69" s="252">
        <v>17</v>
      </c>
      <c r="U69" s="252">
        <v>18</v>
      </c>
      <c r="V69" s="252">
        <v>19</v>
      </c>
      <c r="W69" s="252">
        <v>20</v>
      </c>
      <c r="X69" s="252">
        <v>21</v>
      </c>
      <c r="Y69" s="252">
        <v>22</v>
      </c>
      <c r="Z69" s="252">
        <v>23</v>
      </c>
      <c r="AA69" s="252">
        <v>24</v>
      </c>
      <c r="AB69" s="252">
        <v>25</v>
      </c>
      <c r="AC69" s="252">
        <v>26</v>
      </c>
      <c r="AD69" s="252">
        <v>27</v>
      </c>
      <c r="AE69" s="252">
        <v>28</v>
      </c>
      <c r="AF69" s="252">
        <v>29</v>
      </c>
      <c r="AG69" s="252">
        <v>30</v>
      </c>
    </row>
    <row r="70" spans="1:33" ht="13.5" thickBot="1">
      <c r="A70" s="255" t="str">
        <f>+D27</f>
        <v>kWh</v>
      </c>
      <c r="B70" s="245" t="str">
        <f>"Electricidad"&amp;" (COP/"&amp;A70&amp;")"</f>
        <v>Electricidad (COP/kWh)</v>
      </c>
      <c r="C70" s="264">
        <f>Electricidad!M16*(1+Precios_tarifas!$D$2)</f>
        <v>660.12706374999993</v>
      </c>
      <c r="D70" s="264">
        <f>+C70*(1+Precios_tarifas!$D$2)</f>
        <v>693.13341693749999</v>
      </c>
      <c r="E70" s="264">
        <f>+D70*(1+Precios_tarifas!$D$2)</f>
        <v>727.79008778437503</v>
      </c>
      <c r="F70" s="264">
        <f>IF(F$69&lt;=$C$22,+E70*(1+Precios_tarifas!$D$2),0)</f>
        <v>764.17959217359385</v>
      </c>
      <c r="G70" s="264">
        <f>IF(G$69&lt;=$C$22,+F70*(1+Precios_tarifas!$D$2),0)</f>
        <v>802.38857178227352</v>
      </c>
      <c r="H70" s="264">
        <f>IF(H$69&lt;=$C$22,+G70*(1+Precios_tarifas!$D$2),0)</f>
        <v>842.5080003713872</v>
      </c>
      <c r="I70" s="264">
        <f>IF(I$69&lt;=$C$22,+H70*(1+Precios_tarifas!$D$2),0)</f>
        <v>884.63340038995659</v>
      </c>
      <c r="J70" s="264">
        <f>IF(J$69&lt;=$C$22,+I70*(1+Precios_tarifas!$D$2),0)</f>
        <v>928.86507040945446</v>
      </c>
      <c r="K70" s="264">
        <f>IF(K$69&lt;=$C$22,+J70*(1+Precios_tarifas!$D$2),0)</f>
        <v>975.30832392992727</v>
      </c>
      <c r="L70" s="264">
        <f>IF(L$69&lt;=$C$22,+K70*(1+Precios_tarifas!$D$2),0)</f>
        <v>1024.0737401264237</v>
      </c>
      <c r="M70" s="264">
        <f>IF(M$69&lt;=$C$22,+L70*(1+Precios_tarifas!$D$2),0)</f>
        <v>1075.2774271327448</v>
      </c>
      <c r="N70" s="264">
        <f>IF(N$69&lt;=$C$22,+M70*(1+Precios_tarifas!$D$2),0)</f>
        <v>1129.0412984893821</v>
      </c>
      <c r="O70" s="264">
        <f>IF(O$69&lt;=$C$22,+N70*(1+Precios_tarifas!$D$2),0)</f>
        <v>1185.4933634138513</v>
      </c>
      <c r="P70" s="264">
        <f>IF(P$69&lt;=$C$22,+O70*(1+Precios_tarifas!$D$2),0)</f>
        <v>1244.7680315845439</v>
      </c>
      <c r="Q70" s="264">
        <f>IF(Q$69&lt;=$C$22,+P70*(1+Precios_tarifas!$D$2),0)</f>
        <v>1307.0064331637711</v>
      </c>
      <c r="R70" s="264">
        <f>IF(R$69&lt;=$C$22,+Q70*(1+Precios_tarifas!$D$2),0)</f>
        <v>1372.3567548219598</v>
      </c>
      <c r="S70" s="264">
        <f>IF(S$69&lt;=$C$22,+R70*(1+Precios_tarifas!$D$2),0)</f>
        <v>1440.974592563058</v>
      </c>
      <c r="T70" s="264">
        <f>IF(T$69&lt;=$C$22,+S70*(1+Precios_tarifas!$D$2),0)</f>
        <v>1513.023322191211</v>
      </c>
      <c r="U70" s="264">
        <f>IF(U$69&lt;=$C$22,+T70*(1+Precios_tarifas!$D$2),0)</f>
        <v>1588.6744883007716</v>
      </c>
      <c r="V70" s="264">
        <f>IF(V$69&lt;=$C$22,+U70*(1+Precios_tarifas!$D$2),0)</f>
        <v>1668.1082127158102</v>
      </c>
      <c r="W70" s="264">
        <f>IF(W$69&lt;=$C$22,+V70*(1+Precios_tarifas!$D$2),0)</f>
        <v>1751.5136233516007</v>
      </c>
      <c r="X70" s="264">
        <f>IF(X$69&lt;=$C$22,+W70*(1+Precios_tarifas!$D$2),0)</f>
        <v>1839.0893045191808</v>
      </c>
      <c r="Y70" s="264">
        <f>IF(Y$69&lt;=$C$22,+X70*(1+Precios_tarifas!$D$2),0)</f>
        <v>1931.04376974514</v>
      </c>
      <c r="Z70" s="264">
        <f>IF(Z$69&lt;=$C$22,+Y70*(1+Precios_tarifas!$D$2),0)</f>
        <v>2027.5959582323972</v>
      </c>
      <c r="AA70" s="264">
        <f>IF(AA$69&lt;=$C$22,+Z70*(1+Precios_tarifas!$D$2),0)</f>
        <v>2128.9757561440169</v>
      </c>
      <c r="AB70" s="264">
        <f>IF(AB$69&lt;=$C$22,+AA70*(1+Precios_tarifas!$D$2),0)</f>
        <v>2235.4245439512179</v>
      </c>
      <c r="AC70" s="264">
        <f>IF(AC$69&lt;=$C$22,+AB70*(1+Precios_tarifas!$D$2),0)</f>
        <v>0</v>
      </c>
      <c r="AD70" s="264">
        <f>IF(AD$69&lt;=$C$22,+AC70*(1+Precios_tarifas!$D$2),0)</f>
        <v>0</v>
      </c>
      <c r="AE70" s="264">
        <f>IF(AE$69&lt;=$C$22,+AD70*(1+Precios_tarifas!$D$2),0)</f>
        <v>0</v>
      </c>
      <c r="AF70" s="264">
        <f>IF(AF$69&lt;=$C$22,+AE70*(1+Precios_tarifas!$D$2),0)</f>
        <v>0</v>
      </c>
      <c r="AG70" s="264">
        <f>IF(AG$69&lt;=$C$22,+AF70*(1+Precios_tarifas!$D$2),0)</f>
        <v>0</v>
      </c>
    </row>
    <row r="71" spans="1:33" ht="13.5" thickBot="1">
      <c r="A71" s="255" t="str">
        <f>+D28</f>
        <v>m3</v>
      </c>
      <c r="B71" s="245" t="str">
        <f>"Gas"&amp;" (COP/"&amp;A71&amp;")"</f>
        <v>Gas (COP/m3)</v>
      </c>
      <c r="C71" s="264">
        <f>Precios_tarifas!C10</f>
        <v>2740.2986052220881</v>
      </c>
      <c r="D71" s="264">
        <f>+C71*(1+Precios_tarifas!$D$2)</f>
        <v>2877.3135354831925</v>
      </c>
      <c r="E71" s="264">
        <f>+D71*(1+Precios_tarifas!$D$2)</f>
        <v>3021.1792122573524</v>
      </c>
      <c r="F71" s="264">
        <f>IF(F$69&lt;=$C$22,+E71*(1+Precios_tarifas!$D$3),0)</f>
        <v>3172.2381728702203</v>
      </c>
      <c r="G71" s="264">
        <f>IF(G$69&lt;=$C$22,+F71*(1+Precios_tarifas!$D$3),0)</f>
        <v>3330.8500815137313</v>
      </c>
      <c r="H71" s="264">
        <f>IF(H$69&lt;=$C$22,+G71*(1+Precios_tarifas!$D$3),0)</f>
        <v>3497.3925855894181</v>
      </c>
      <c r="I71" s="264">
        <f>IF(I$69&lt;=$C$22,+H71*(1+Precios_tarifas!$D$3),0)</f>
        <v>3672.2622148688893</v>
      </c>
      <c r="J71" s="264">
        <f>IF(J$69&lt;=$C$22,+I71*(1+Precios_tarifas!$D$3),0)</f>
        <v>3855.8753256123341</v>
      </c>
      <c r="K71" s="264">
        <f>IF(K$69&lt;=$C$22,+J71*(1+Precios_tarifas!$D$3),0)</f>
        <v>4048.6690918929512</v>
      </c>
      <c r="L71" s="264">
        <f>IF(L$69&lt;=$C$22,+K71*(1+Precios_tarifas!$D$3),0)</f>
        <v>4251.1025464875993</v>
      </c>
      <c r="M71" s="264">
        <f>IF(M$69&lt;=$C$22,+L71*(1+Precios_tarifas!$D$3),0)</f>
        <v>4463.6576738119793</v>
      </c>
      <c r="N71" s="264">
        <f>IF(N$69&lt;=$C$22,+M71*(1+Precios_tarifas!$D$3),0)</f>
        <v>4686.8405575025781</v>
      </c>
      <c r="O71" s="264">
        <f>IF(O$69&lt;=$C$22,+N71*(1+Precios_tarifas!$D$3),0)</f>
        <v>4921.1825853777073</v>
      </c>
      <c r="P71" s="264">
        <f>IF(P$69&lt;=$C$22,+O71*(1+Precios_tarifas!$D$3),0)</f>
        <v>5167.2417146465932</v>
      </c>
      <c r="Q71" s="264">
        <f>IF(Q$69&lt;=$C$22,+P71*(1+Precios_tarifas!$D$3),0)</f>
        <v>5425.6038003789236</v>
      </c>
      <c r="R71" s="264">
        <f>IF(R$69&lt;=$C$22,+Q71*(1+Precios_tarifas!$D$3),0)</f>
        <v>5696.8839903978696</v>
      </c>
      <c r="S71" s="264">
        <f>IF(S$69&lt;=$C$22,+R71*(1+Precios_tarifas!$D$3),0)</f>
        <v>5981.7281899177633</v>
      </c>
      <c r="T71" s="264">
        <f>IF(T$69&lt;=$C$22,+S71*(1+Precios_tarifas!$D$3),0)</f>
        <v>6280.8145994136521</v>
      </c>
      <c r="U71" s="264">
        <f>IF(U$69&lt;=$C$22,+T71*(1+Precios_tarifas!$D$3),0)</f>
        <v>6594.8553293843352</v>
      </c>
      <c r="V71" s="264">
        <f>IF(V$69&lt;=$C$22,+U71*(1+Precios_tarifas!$D$3),0)</f>
        <v>6924.598095853552</v>
      </c>
      <c r="W71" s="264">
        <f>IF(W$69&lt;=$C$22,+V71*(1+Precios_tarifas!$D$3),0)</f>
        <v>7270.8280006462301</v>
      </c>
      <c r="X71" s="264">
        <f>IF(X$69&lt;=$C$22,+W71*(1+Precios_tarifas!$D$3),0)</f>
        <v>7634.3694006785418</v>
      </c>
      <c r="Y71" s="264">
        <f>IF(Y$69&lt;=$C$22,+X71*(1+Precios_tarifas!$D$3),0)</f>
        <v>8016.0878707124693</v>
      </c>
      <c r="Z71" s="264">
        <f>IF(Z$69&lt;=$C$22,+Y71*(1+Precios_tarifas!$D$3),0)</f>
        <v>8416.8922642480939</v>
      </c>
      <c r="AA71" s="264">
        <f>IF(AA$69&lt;=$C$22,+Z71*(1+Precios_tarifas!$D$3),0)</f>
        <v>8837.7368774604984</v>
      </c>
      <c r="AB71" s="264">
        <f>IF(AB$69&lt;=$C$22,+AA71*(1+Precios_tarifas!$D$3),0)</f>
        <v>9279.6237213335244</v>
      </c>
      <c r="AC71" s="264">
        <f>IF(AC$69&lt;=$C$22,+AB71*(1+Precios_tarifas!$D$3),0)</f>
        <v>0</v>
      </c>
      <c r="AD71" s="264">
        <f>IF(AD$69&lt;=$C$22,+AC71*(1+Precios_tarifas!$D$3),0)</f>
        <v>0</v>
      </c>
      <c r="AE71" s="264">
        <f>IF(AE$69&lt;=$C$22,+AD71*(1+Precios_tarifas!$D$3),0)</f>
        <v>0</v>
      </c>
      <c r="AF71" s="264">
        <f>IF(AF$69&lt;=$C$22,+AE71*(1+Precios_tarifas!$D$3),0)</f>
        <v>0</v>
      </c>
      <c r="AG71" s="264">
        <f>IF(AG$69&lt;=$C$22,+AF71*(1+Precios_tarifas!$D$3),0)</f>
        <v>0</v>
      </c>
    </row>
    <row r="72" spans="1:33">
      <c r="A72" s="255" t="str">
        <f>+D31</f>
        <v>m3</v>
      </c>
      <c r="B72" s="245" t="str">
        <f>"Agua"&amp;" (COP/"&amp;A72&amp;")"</f>
        <v>Agua (COP/m3)</v>
      </c>
      <c r="C72" s="264">
        <f>+Precios_tarifas!C11</f>
        <v>6238.0704732592994</v>
      </c>
      <c r="D72" s="264">
        <f>+C72*(1+Precios_tarifas!$D$2)</f>
        <v>6549.9739969222646</v>
      </c>
      <c r="E72" s="264">
        <f>+D72*(1+Precios_tarifas!$D$2)</f>
        <v>6877.4726967683782</v>
      </c>
      <c r="F72" s="264">
        <f>IF(F$69&lt;=$C$22,+E72*(1+Precios_tarifas!$D$4),0)</f>
        <v>7221.3463316067973</v>
      </c>
      <c r="G72" s="264">
        <f>IF(G$69&lt;=$C$22,+F72*(1+Precios_tarifas!$D$4),0)</f>
        <v>7582.4136481871374</v>
      </c>
      <c r="H72" s="264">
        <f>IF(H$69&lt;=$C$22,+G72*(1+Precios_tarifas!$D$4),0)</f>
        <v>7961.5343305964943</v>
      </c>
      <c r="I72" s="264">
        <f>IF(I$69&lt;=$C$22,+H72*(1+Precios_tarifas!$D$4),0)</f>
        <v>8359.61104712632</v>
      </c>
      <c r="J72" s="264">
        <f>IF(J$69&lt;=$C$22,+I72*(1+Precios_tarifas!$D$4),0)</f>
        <v>8777.5915994826373</v>
      </c>
      <c r="K72" s="264">
        <f>IF(K$69&lt;=$C$22,+J72*(1+Precios_tarifas!$D$4),0)</f>
        <v>9216.4711794567702</v>
      </c>
      <c r="L72" s="264">
        <f>IF(L$69&lt;=$C$22,+K72*(1+Precios_tarifas!$D$4),0)</f>
        <v>9677.2947384296094</v>
      </c>
      <c r="M72" s="264">
        <f>IF(M$69&lt;=$C$22,+L72*(1+Precios_tarifas!$D$4),0)</f>
        <v>10161.159475351091</v>
      </c>
      <c r="N72" s="264">
        <f>IF(N$69&lt;=$C$22,+M72*(1+Precios_tarifas!$D$4),0)</f>
        <v>10669.217449118645</v>
      </c>
      <c r="O72" s="264">
        <f>IF(O$69&lt;=$C$22,+N72*(1+Precios_tarifas!$D$4),0)</f>
        <v>11202.678321574578</v>
      </c>
      <c r="P72" s="264">
        <f>IF(P$69&lt;=$C$22,+O72*(1+Precios_tarifas!$D$4),0)</f>
        <v>11762.812237653308</v>
      </c>
      <c r="Q72" s="264">
        <f>IF(Q$69&lt;=$C$22,+P72*(1+Precios_tarifas!$D$4),0)</f>
        <v>12350.952849535974</v>
      </c>
      <c r="R72" s="264">
        <f>IF(R$69&lt;=$C$22,+Q72*(1+Precios_tarifas!$D$4),0)</f>
        <v>12968.500492012772</v>
      </c>
      <c r="S72" s="264">
        <f>IF(S$69&lt;=$C$22,+R72*(1+Precios_tarifas!$D$4),0)</f>
        <v>13616.925516613412</v>
      </c>
      <c r="T72" s="264">
        <f>IF(T$69&lt;=$C$22,+S72*(1+Precios_tarifas!$D$4),0)</f>
        <v>14297.771792444082</v>
      </c>
      <c r="U72" s="264">
        <f>IF(U$69&lt;=$C$22,+T72*(1+Precios_tarifas!$D$4),0)</f>
        <v>15012.660382066288</v>
      </c>
      <c r="V72" s="264">
        <f>IF(V$69&lt;=$C$22,+U72*(1+Precios_tarifas!$D$4),0)</f>
        <v>15763.293401169603</v>
      </c>
      <c r="W72" s="264">
        <f>IF(W$69&lt;=$C$22,+V72*(1+Precios_tarifas!$D$4),0)</f>
        <v>16551.458071228084</v>
      </c>
      <c r="X72" s="264">
        <f>IF(X$69&lt;=$C$22,+W72*(1+Precios_tarifas!$D$4),0)</f>
        <v>17379.03097478949</v>
      </c>
      <c r="Y72" s="264">
        <f>IF(Y$69&lt;=$C$22,+X72*(1+Precios_tarifas!$D$4),0)</f>
        <v>18247.982523528965</v>
      </c>
      <c r="Z72" s="264">
        <f>IF(Z$69&lt;=$C$22,+Y72*(1+Precios_tarifas!$D$4),0)</f>
        <v>19160.381649705414</v>
      </c>
      <c r="AA72" s="264">
        <f>IF(AA$69&lt;=$C$22,+Z72*(1+Precios_tarifas!$D$4),0)</f>
        <v>20118.400732190687</v>
      </c>
      <c r="AB72" s="264">
        <f>IF(AB$69&lt;=$C$22,+AA72*(1+Precios_tarifas!$D$4),0)</f>
        <v>21124.320768800222</v>
      </c>
      <c r="AC72" s="264">
        <f>IF(AC$69&lt;=$C$22,+AB72*(1+Precios_tarifas!$D$4),0)</f>
        <v>0</v>
      </c>
      <c r="AD72" s="264">
        <f>IF(AD$69&lt;=$C$22,+AC72*(1+Precios_tarifas!$D$4),0)</f>
        <v>0</v>
      </c>
      <c r="AE72" s="264">
        <f>IF(AE$69&lt;=$C$22,+AD72*(1+Precios_tarifas!$D$4),0)</f>
        <v>0</v>
      </c>
      <c r="AF72" s="264">
        <f>IF(AF$69&lt;=$C$22,+AE72*(1+Precios_tarifas!$D$4),0)</f>
        <v>0</v>
      </c>
      <c r="AG72" s="264">
        <f>IF(AG$69&lt;=$C$22,+AF72*(1+Precios_tarifas!$D$4),0)</f>
        <v>0</v>
      </c>
    </row>
    <row r="73" spans="1:33">
      <c r="A73" s="271"/>
      <c r="B73" s="271"/>
      <c r="C73" s="271"/>
      <c r="F73" s="271"/>
      <c r="G73" s="271"/>
      <c r="H73" s="271"/>
      <c r="I73" s="271"/>
      <c r="J73" s="271"/>
      <c r="K73" s="271"/>
      <c r="L73" s="271"/>
      <c r="M73" s="271"/>
      <c r="N73" s="271"/>
      <c r="O73" s="271"/>
      <c r="P73" s="271"/>
      <c r="Q73" s="271"/>
      <c r="R73" s="271"/>
      <c r="S73" s="271"/>
      <c r="T73" s="271"/>
      <c r="U73" s="271"/>
      <c r="V73" s="271"/>
      <c r="W73" s="271"/>
    </row>
    <row r="74" spans="1:33">
      <c r="A74" s="271"/>
      <c r="B74" s="271"/>
      <c r="C74" s="271"/>
      <c r="F74" s="271"/>
      <c r="G74" s="271"/>
      <c r="H74" s="271"/>
      <c r="I74" s="271"/>
      <c r="J74" s="271"/>
      <c r="K74" s="271"/>
      <c r="L74" s="271"/>
      <c r="M74" s="271"/>
      <c r="N74" s="271"/>
      <c r="O74" s="271"/>
      <c r="P74" s="271"/>
      <c r="Q74" s="271"/>
      <c r="R74" s="271"/>
      <c r="S74" s="271"/>
      <c r="T74" s="271"/>
      <c r="U74" s="271"/>
      <c r="V74" s="271"/>
      <c r="W74" s="271"/>
    </row>
    <row r="75" spans="1:33">
      <c r="C75" s="241"/>
      <c r="D75" s="241"/>
      <c r="E75" s="241"/>
      <c r="F75" s="265"/>
      <c r="G75" s="265"/>
      <c r="H75" s="265"/>
      <c r="I75" s="266"/>
      <c r="J75" s="266"/>
      <c r="K75" s="266"/>
      <c r="L75" s="266"/>
      <c r="M75" s="266"/>
      <c r="N75" s="266"/>
      <c r="O75" s="266"/>
      <c r="P75" s="266"/>
      <c r="Q75" s="266"/>
      <c r="R75" s="266"/>
      <c r="S75" s="266"/>
      <c r="T75" s="266"/>
      <c r="U75" s="266"/>
      <c r="V75" s="266"/>
      <c r="W75" s="266"/>
    </row>
    <row r="77" spans="1:33">
      <c r="A77" s="270"/>
    </row>
    <row r="78" spans="1:33" ht="12.75" customHeight="1">
      <c r="A78" s="506" t="s">
        <v>345</v>
      </c>
      <c r="B78" s="506"/>
      <c r="C78" s="506"/>
      <c r="D78" s="507" t="s">
        <v>399</v>
      </c>
      <c r="E78" s="506" t="s">
        <v>347</v>
      </c>
      <c r="F78" s="506"/>
      <c r="G78" s="506" t="s">
        <v>348</v>
      </c>
      <c r="H78" s="506"/>
      <c r="I78" s="509" t="s">
        <v>352</v>
      </c>
    </row>
    <row r="79" spans="1:33">
      <c r="A79" s="506"/>
      <c r="B79" s="506"/>
      <c r="C79" s="506"/>
      <c r="D79" s="507"/>
      <c r="E79" s="506"/>
      <c r="F79" s="506"/>
      <c r="G79" s="506"/>
      <c r="H79" s="506"/>
      <c r="I79" s="510"/>
    </row>
    <row r="80" spans="1:33">
      <c r="A80" s="506"/>
      <c r="B80" s="506"/>
      <c r="C80" s="506"/>
      <c r="D80" s="507"/>
      <c r="E80" s="413" t="s">
        <v>351</v>
      </c>
      <c r="F80" s="413" t="s">
        <v>352</v>
      </c>
      <c r="G80" s="413" t="s">
        <v>351</v>
      </c>
      <c r="H80" s="413" t="s">
        <v>352</v>
      </c>
      <c r="I80" s="414" t="s">
        <v>353</v>
      </c>
    </row>
    <row r="81" spans="1:9">
      <c r="A81" s="514" t="s">
        <v>400</v>
      </c>
      <c r="B81" s="514"/>
      <c r="C81" s="415">
        <v>1</v>
      </c>
      <c r="D81" s="415" t="s">
        <v>338</v>
      </c>
      <c r="E81" s="416">
        <v>1058709000</v>
      </c>
      <c r="F81" s="416">
        <v>1058709000</v>
      </c>
      <c r="G81" s="417" t="s">
        <v>7</v>
      </c>
      <c r="H81" s="417" t="s">
        <v>359</v>
      </c>
      <c r="I81" s="418">
        <v>1058709000</v>
      </c>
    </row>
    <row r="82" spans="1:9" ht="51.75" customHeight="1">
      <c r="A82" s="513" t="s">
        <v>401</v>
      </c>
      <c r="B82" s="513"/>
      <c r="C82" s="419">
        <v>1</v>
      </c>
      <c r="D82" s="419" t="s">
        <v>338</v>
      </c>
      <c r="E82" s="420">
        <v>1058709000</v>
      </c>
      <c r="F82" s="420">
        <v>1058709000</v>
      </c>
      <c r="G82" s="421" t="s">
        <v>359</v>
      </c>
      <c r="H82" s="421" t="s">
        <v>359</v>
      </c>
      <c r="I82" s="420">
        <v>1058709000</v>
      </c>
    </row>
    <row r="83" spans="1:9">
      <c r="A83" s="514" t="s">
        <v>354</v>
      </c>
      <c r="B83" s="514"/>
      <c r="C83" s="415">
        <v>1</v>
      </c>
      <c r="D83" s="415" t="s">
        <v>402</v>
      </c>
      <c r="E83" s="416">
        <v>591648219</v>
      </c>
      <c r="F83" s="416">
        <v>591648219</v>
      </c>
      <c r="G83" s="416">
        <v>503996631</v>
      </c>
      <c r="H83" s="416">
        <v>503996631</v>
      </c>
      <c r="I83" s="418">
        <v>1095644850</v>
      </c>
    </row>
    <row r="84" spans="1:9">
      <c r="A84" s="512" t="s">
        <v>403</v>
      </c>
      <c r="B84" s="512"/>
      <c r="C84" s="419">
        <v>1</v>
      </c>
      <c r="D84" s="419" t="s">
        <v>338</v>
      </c>
      <c r="E84" s="420">
        <v>277834578</v>
      </c>
      <c r="F84" s="420">
        <v>277834578</v>
      </c>
      <c r="G84" s="420">
        <v>236673900</v>
      </c>
      <c r="H84" s="420">
        <v>236673900</v>
      </c>
      <c r="I84" s="420">
        <v>514508478</v>
      </c>
    </row>
    <row r="85" spans="1:9">
      <c r="A85" s="513" t="s">
        <v>404</v>
      </c>
      <c r="B85" s="513"/>
      <c r="C85" s="419">
        <v>1</v>
      </c>
      <c r="D85" s="419" t="s">
        <v>338</v>
      </c>
      <c r="E85" s="420">
        <v>130084406</v>
      </c>
      <c r="F85" s="420">
        <v>130084406</v>
      </c>
      <c r="G85" s="420">
        <v>110812642</v>
      </c>
      <c r="H85" s="420">
        <v>110812642</v>
      </c>
      <c r="I85" s="420">
        <v>240897048</v>
      </c>
    </row>
    <row r="86" spans="1:9">
      <c r="A86" s="512" t="s">
        <v>405</v>
      </c>
      <c r="B86" s="512"/>
      <c r="C86" s="419">
        <v>4</v>
      </c>
      <c r="D86" s="419" t="s">
        <v>358</v>
      </c>
      <c r="E86" s="420">
        <v>124033968</v>
      </c>
      <c r="F86" s="420">
        <v>124033968</v>
      </c>
      <c r="G86" s="420">
        <v>105658566</v>
      </c>
      <c r="H86" s="420">
        <v>105658566</v>
      </c>
      <c r="I86" s="420">
        <v>229692534</v>
      </c>
    </row>
    <row r="87" spans="1:9">
      <c r="A87" s="513" t="s">
        <v>406</v>
      </c>
      <c r="B87" s="513"/>
      <c r="C87" s="419">
        <v>4</v>
      </c>
      <c r="D87" s="419" t="s">
        <v>358</v>
      </c>
      <c r="E87" s="420">
        <v>59695267</v>
      </c>
      <c r="F87" s="420">
        <v>59695267</v>
      </c>
      <c r="G87" s="420">
        <v>50851523</v>
      </c>
      <c r="H87" s="420">
        <v>50851523</v>
      </c>
      <c r="I87" s="420">
        <v>110546790</v>
      </c>
    </row>
    <row r="88" spans="1:9">
      <c r="A88" s="515" t="s">
        <v>365</v>
      </c>
      <c r="B88" s="516"/>
      <c r="C88" s="516"/>
      <c r="D88" s="516"/>
      <c r="E88" s="516"/>
      <c r="F88" s="516"/>
      <c r="G88" s="516"/>
      <c r="H88" s="516"/>
      <c r="I88" s="517"/>
    </row>
    <row r="89" spans="1:9" ht="39" customHeight="1">
      <c r="A89" s="520" t="s">
        <v>407</v>
      </c>
      <c r="B89" s="520"/>
      <c r="C89" s="415">
        <v>1</v>
      </c>
      <c r="D89" s="415" t="s">
        <v>367</v>
      </c>
      <c r="E89" s="416">
        <v>42580862</v>
      </c>
      <c r="F89" s="416">
        <v>42580862</v>
      </c>
      <c r="G89" s="416">
        <v>36272587</v>
      </c>
      <c r="H89" s="416">
        <v>36272587</v>
      </c>
      <c r="I89" s="418">
        <v>78853449</v>
      </c>
    </row>
    <row r="90" spans="1:9">
      <c r="A90" s="513" t="s">
        <v>300</v>
      </c>
      <c r="B90" s="513"/>
      <c r="C90" s="419">
        <v>4</v>
      </c>
      <c r="D90" s="419" t="s">
        <v>358</v>
      </c>
      <c r="E90" s="420">
        <v>4679216</v>
      </c>
      <c r="F90" s="420">
        <v>18716863</v>
      </c>
      <c r="G90" s="420">
        <v>3985999</v>
      </c>
      <c r="H90" s="420">
        <v>15943994</v>
      </c>
      <c r="I90" s="420">
        <v>34660857</v>
      </c>
    </row>
    <row r="91" spans="1:9">
      <c r="A91" s="513" t="s">
        <v>404</v>
      </c>
      <c r="B91" s="513"/>
      <c r="C91" s="419">
        <v>2</v>
      </c>
      <c r="D91" s="419" t="s">
        <v>358</v>
      </c>
      <c r="E91" s="420">
        <v>5030157</v>
      </c>
      <c r="F91" s="420">
        <v>10060314</v>
      </c>
      <c r="G91" s="420">
        <v>4284948</v>
      </c>
      <c r="H91" s="420">
        <v>8569897</v>
      </c>
      <c r="I91" s="420">
        <v>18630210</v>
      </c>
    </row>
    <row r="92" spans="1:9">
      <c r="A92" s="513" t="s">
        <v>405</v>
      </c>
      <c r="B92" s="513"/>
      <c r="C92" s="419">
        <v>2</v>
      </c>
      <c r="D92" s="419" t="s">
        <v>358</v>
      </c>
      <c r="E92" s="420">
        <v>4796196</v>
      </c>
      <c r="F92" s="420">
        <v>9592392</v>
      </c>
      <c r="G92" s="420">
        <v>4085648</v>
      </c>
      <c r="H92" s="420">
        <v>8171297</v>
      </c>
      <c r="I92" s="420">
        <v>17763689</v>
      </c>
    </row>
    <row r="93" spans="1:9">
      <c r="A93" s="513" t="s">
        <v>301</v>
      </c>
      <c r="B93" s="513"/>
      <c r="C93" s="419">
        <v>1</v>
      </c>
      <c r="D93" s="419" t="s">
        <v>358</v>
      </c>
      <c r="E93" s="420">
        <v>4211294</v>
      </c>
      <c r="F93" s="420">
        <v>4211294</v>
      </c>
      <c r="G93" s="420">
        <v>3587399</v>
      </c>
      <c r="H93" s="420">
        <v>3587399</v>
      </c>
      <c r="I93" s="420">
        <v>7798693</v>
      </c>
    </row>
    <row r="94" spans="1:9">
      <c r="A94" s="514" t="s">
        <v>372</v>
      </c>
      <c r="B94" s="514"/>
      <c r="C94" s="415">
        <v>1</v>
      </c>
      <c r="D94" s="415" t="s">
        <v>367</v>
      </c>
      <c r="E94" s="417">
        <v>0</v>
      </c>
      <c r="F94" s="417">
        <v>0</v>
      </c>
      <c r="G94" s="416">
        <v>16200000</v>
      </c>
      <c r="H94" s="416">
        <v>16200000</v>
      </c>
      <c r="I94" s="418">
        <v>16200000</v>
      </c>
    </row>
    <row r="95" spans="1:9">
      <c r="A95" s="512" t="s">
        <v>373</v>
      </c>
      <c r="B95" s="512"/>
      <c r="C95" s="419">
        <v>1</v>
      </c>
      <c r="D95" s="419" t="s">
        <v>338</v>
      </c>
      <c r="E95" s="421" t="s">
        <v>359</v>
      </c>
      <c r="F95" s="421" t="s">
        <v>408</v>
      </c>
      <c r="G95" s="420">
        <v>16200000</v>
      </c>
      <c r="H95" s="420">
        <v>16200000</v>
      </c>
      <c r="I95" s="420">
        <v>16200000</v>
      </c>
    </row>
    <row r="96" spans="1:9" ht="15.75" thickBot="1">
      <c r="A96" s="511" t="s">
        <v>374</v>
      </c>
      <c r="B96" s="511"/>
      <c r="C96" s="511"/>
      <c r="D96" s="418">
        <v>1190698299</v>
      </c>
      <c r="E96" s="422"/>
      <c r="F96" s="422"/>
      <c r="G96" s="422"/>
      <c r="H96" s="422"/>
      <c r="I96" s="423"/>
    </row>
    <row r="97" spans="1:9" ht="15.75" thickBot="1">
      <c r="A97" s="512" t="s">
        <v>393</v>
      </c>
      <c r="B97" s="512"/>
      <c r="C97" s="424">
        <v>0.15</v>
      </c>
      <c r="D97" s="420">
        <v>178604745</v>
      </c>
      <c r="E97" s="422"/>
      <c r="F97" s="422"/>
      <c r="G97" s="422"/>
      <c r="H97" s="422"/>
      <c r="I97" s="423"/>
    </row>
    <row r="98" spans="1:9" ht="15.75" thickBot="1">
      <c r="A98" s="512" t="s">
        <v>376</v>
      </c>
      <c r="B98" s="512"/>
      <c r="C98" s="424">
        <v>0.05</v>
      </c>
      <c r="D98" s="420">
        <v>59534915</v>
      </c>
      <c r="E98" s="422"/>
      <c r="F98" s="422"/>
      <c r="G98" s="422"/>
      <c r="H98" s="422"/>
      <c r="I98" s="423"/>
    </row>
    <row r="99" spans="1:9" ht="15.75" thickBot="1">
      <c r="A99" s="512" t="s">
        <v>377</v>
      </c>
      <c r="B99" s="512"/>
      <c r="C99" s="424">
        <v>0.05</v>
      </c>
      <c r="D99" s="420">
        <v>59534915</v>
      </c>
      <c r="E99" s="422"/>
      <c r="F99" s="422"/>
      <c r="G99" s="422"/>
      <c r="H99" s="422"/>
      <c r="I99" s="423"/>
    </row>
    <row r="100" spans="1:9" ht="15.75" thickBot="1">
      <c r="A100" s="518" t="s">
        <v>378</v>
      </c>
      <c r="B100" s="518"/>
      <c r="C100" s="425">
        <v>0.25</v>
      </c>
      <c r="D100" s="426">
        <v>297674575</v>
      </c>
      <c r="E100" s="422"/>
      <c r="F100" s="422"/>
      <c r="G100" s="422"/>
      <c r="H100" s="422"/>
      <c r="I100" s="423"/>
    </row>
    <row r="101" spans="1:9" ht="15.75" thickBot="1">
      <c r="A101" s="519" t="s">
        <v>379</v>
      </c>
      <c r="B101" s="519"/>
      <c r="C101" s="519"/>
      <c r="D101" s="418">
        <v>1488372874</v>
      </c>
      <c r="E101" s="422"/>
      <c r="F101" s="422"/>
      <c r="G101" s="422"/>
      <c r="H101" s="422"/>
      <c r="I101" s="423"/>
    </row>
    <row r="102" spans="1:9" ht="15.75" thickBot="1">
      <c r="A102" s="519" t="s">
        <v>380</v>
      </c>
      <c r="B102" s="519"/>
      <c r="C102" s="519"/>
      <c r="D102" s="427">
        <v>2547081874</v>
      </c>
      <c r="E102" s="422"/>
      <c r="F102" s="422"/>
      <c r="G102" s="422"/>
      <c r="H102" s="422"/>
      <c r="I102" s="423"/>
    </row>
    <row r="103" spans="1:9">
      <c r="A103" s="423"/>
      <c r="B103" s="423"/>
      <c r="C103" s="423"/>
      <c r="D103" s="423"/>
      <c r="E103" s="423"/>
      <c r="F103" s="423"/>
      <c r="G103" s="423"/>
      <c r="H103" s="423"/>
      <c r="I103" s="423"/>
    </row>
  </sheetData>
  <mergeCells count="48">
    <mergeCell ref="A88:I88"/>
    <mergeCell ref="A100:B100"/>
    <mergeCell ref="A101:C101"/>
    <mergeCell ref="A102:C102"/>
    <mergeCell ref="E78:F79"/>
    <mergeCell ref="G78:H79"/>
    <mergeCell ref="A78:B80"/>
    <mergeCell ref="A81:B81"/>
    <mergeCell ref="A82:B82"/>
    <mergeCell ref="A83:B83"/>
    <mergeCell ref="A84:B84"/>
    <mergeCell ref="A85:B85"/>
    <mergeCell ref="A86:B86"/>
    <mergeCell ref="A87:B87"/>
    <mergeCell ref="A89:B89"/>
    <mergeCell ref="A90:B90"/>
    <mergeCell ref="A96:C96"/>
    <mergeCell ref="A97:B97"/>
    <mergeCell ref="A98:B98"/>
    <mergeCell ref="A99:B99"/>
    <mergeCell ref="A91:B91"/>
    <mergeCell ref="A92:B92"/>
    <mergeCell ref="A93:B93"/>
    <mergeCell ref="A94:B94"/>
    <mergeCell ref="A95:B95"/>
    <mergeCell ref="C78:C80"/>
    <mergeCell ref="D78:D80"/>
    <mergeCell ref="A54:A55"/>
    <mergeCell ref="A56:A57"/>
    <mergeCell ref="C17:I17"/>
    <mergeCell ref="C18:I18"/>
    <mergeCell ref="F20:H20"/>
    <mergeCell ref="A48:A49"/>
    <mergeCell ref="A50:A51"/>
    <mergeCell ref="A52:A53"/>
    <mergeCell ref="I78:I79"/>
    <mergeCell ref="C16:I16"/>
    <mergeCell ref="B3:I3"/>
    <mergeCell ref="B4:E4"/>
    <mergeCell ref="F4:I4"/>
    <mergeCell ref="B5:E9"/>
    <mergeCell ref="F5:I9"/>
    <mergeCell ref="C10:I10"/>
    <mergeCell ref="C11:I11"/>
    <mergeCell ref="C12:I12"/>
    <mergeCell ref="C13:I13"/>
    <mergeCell ref="C14:I14"/>
    <mergeCell ref="C15:I15"/>
  </mergeCells>
  <conditionalFormatting sqref="C37:AG37 C46:AG46">
    <cfRule type="expression" dxfId="11" priority="11">
      <formula>C37&gt;$C$22</formula>
    </cfRule>
  </conditionalFormatting>
  <conditionalFormatting sqref="C38:AG44 AH52:XFD55">
    <cfRule type="expression" dxfId="10" priority="5">
      <formula>C$37&gt;$C$22</formula>
    </cfRule>
  </conditionalFormatting>
  <conditionalFormatting sqref="C47:AG66">
    <cfRule type="expression" dxfId="9" priority="1">
      <formula>C$37&gt;$C$22</formula>
    </cfRule>
  </conditionalFormatting>
  <conditionalFormatting sqref="F69:AG72">
    <cfRule type="expression" dxfId="8" priority="6">
      <formula>F$69&gt;$C$22</formula>
    </cfRule>
  </conditionalFormatting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100"/>
  <sheetViews>
    <sheetView showGridLines="0" topLeftCell="A7" zoomScale="80" zoomScaleNormal="80" workbookViewId="0">
      <selection activeCell="C10" sqref="C10:I10"/>
    </sheetView>
  </sheetViews>
  <sheetFormatPr baseColWidth="10" defaultColWidth="9.140625" defaultRowHeight="12.75"/>
  <cols>
    <col min="1" max="1" width="23.28515625" style="209" customWidth="1"/>
    <col min="2" max="2" width="32.7109375" style="209" customWidth="1"/>
    <col min="3" max="3" width="22.140625" style="209" bestFit="1" customWidth="1"/>
    <col min="4" max="4" width="31.5703125" style="209" bestFit="1" customWidth="1"/>
    <col min="5" max="5" width="19.85546875" style="209" bestFit="1" customWidth="1"/>
    <col min="6" max="6" width="21.28515625" style="209" bestFit="1" customWidth="1"/>
    <col min="7" max="7" width="23.28515625" style="209" customWidth="1"/>
    <col min="8" max="8" width="19.140625" style="209" bestFit="1" customWidth="1"/>
    <col min="9" max="9" width="19.42578125" style="209" bestFit="1" customWidth="1"/>
    <col min="10" max="10" width="19.85546875" style="209" bestFit="1" customWidth="1"/>
    <col min="11" max="12" width="19.42578125" style="209" bestFit="1" customWidth="1"/>
    <col min="13" max="13" width="18.7109375" style="209" bestFit="1" customWidth="1"/>
    <col min="14" max="14" width="17.7109375" style="209" bestFit="1" customWidth="1"/>
    <col min="15" max="15" width="17.85546875" style="209" bestFit="1" customWidth="1"/>
    <col min="16" max="17" width="17.7109375" style="209" bestFit="1" customWidth="1"/>
    <col min="18" max="18" width="17.140625" style="209" bestFit="1" customWidth="1"/>
    <col min="19" max="19" width="17.85546875" style="209" bestFit="1" customWidth="1"/>
    <col min="20" max="20" width="17.28515625" style="209" bestFit="1" customWidth="1"/>
    <col min="21" max="21" width="17.85546875" style="209" bestFit="1" customWidth="1"/>
    <col min="22" max="22" width="17.7109375" style="209" bestFit="1" customWidth="1"/>
    <col min="23" max="23" width="17.28515625" style="209" bestFit="1" customWidth="1"/>
    <col min="24" max="24" width="18.140625" style="209" bestFit="1" customWidth="1"/>
    <col min="25" max="25" width="17.85546875" style="209" bestFit="1" customWidth="1"/>
    <col min="26" max="26" width="18.140625" style="209" bestFit="1" customWidth="1"/>
    <col min="27" max="27" width="17.85546875" style="209" bestFit="1" customWidth="1"/>
    <col min="28" max="28" width="18.140625" style="209" bestFit="1" customWidth="1"/>
    <col min="29" max="16384" width="9.140625" style="209"/>
  </cols>
  <sheetData>
    <row r="1" spans="2:15">
      <c r="L1" s="210" t="s">
        <v>236</v>
      </c>
      <c r="M1" s="210" t="s">
        <v>237</v>
      </c>
      <c r="N1" s="210" t="s">
        <v>4</v>
      </c>
      <c r="O1" s="210" t="s">
        <v>238</v>
      </c>
    </row>
    <row r="2" spans="2:15">
      <c r="L2" s="210" t="s">
        <v>239</v>
      </c>
      <c r="M2" s="210" t="s">
        <v>13</v>
      </c>
      <c r="N2" s="210" t="s">
        <v>15</v>
      </c>
      <c r="O2" s="210" t="s">
        <v>9</v>
      </c>
    </row>
    <row r="3" spans="2:15" ht="23.25">
      <c r="B3" s="457" t="s">
        <v>240</v>
      </c>
      <c r="C3" s="457"/>
      <c r="D3" s="457"/>
      <c r="E3" s="457"/>
      <c r="F3" s="457"/>
      <c r="G3" s="457"/>
      <c r="H3" s="457"/>
      <c r="I3" s="457"/>
      <c r="L3" s="210" t="s">
        <v>241</v>
      </c>
      <c r="M3" s="210" t="s">
        <v>9</v>
      </c>
      <c r="N3" s="210" t="s">
        <v>9</v>
      </c>
      <c r="O3" s="210" t="s">
        <v>15</v>
      </c>
    </row>
    <row r="4" spans="2:15" ht="15.75">
      <c r="B4" s="458" t="s">
        <v>242</v>
      </c>
      <c r="C4" s="458"/>
      <c r="D4" s="458"/>
      <c r="E4" s="458"/>
      <c r="F4" s="458" t="s">
        <v>243</v>
      </c>
      <c r="G4" s="458"/>
      <c r="H4" s="458"/>
      <c r="I4" s="458"/>
      <c r="L4" s="210"/>
      <c r="M4" s="210"/>
      <c r="N4" s="210"/>
      <c r="O4" s="210"/>
    </row>
    <row r="5" spans="2:15" ht="23.25" customHeight="1">
      <c r="B5" s="459" t="s">
        <v>294</v>
      </c>
      <c r="C5" s="460"/>
      <c r="D5" s="460"/>
      <c r="E5" s="461"/>
      <c r="F5" s="468" t="s">
        <v>395</v>
      </c>
      <c r="G5" s="468"/>
      <c r="H5" s="468"/>
      <c r="I5" s="468"/>
      <c r="L5" s="210"/>
      <c r="M5" s="210"/>
      <c r="N5" s="210"/>
      <c r="O5" s="210"/>
    </row>
    <row r="6" spans="2:15" ht="23.25" customHeight="1">
      <c r="B6" s="462"/>
      <c r="C6" s="463"/>
      <c r="D6" s="463"/>
      <c r="E6" s="464"/>
      <c r="F6" s="468"/>
      <c r="G6" s="468"/>
      <c r="H6" s="468"/>
      <c r="I6" s="468"/>
      <c r="L6" s="210"/>
      <c r="M6" s="210"/>
      <c r="N6" s="210"/>
      <c r="O6" s="210"/>
    </row>
    <row r="7" spans="2:15" ht="23.25" customHeight="1">
      <c r="B7" s="462"/>
      <c r="C7" s="463"/>
      <c r="D7" s="463"/>
      <c r="E7" s="464"/>
      <c r="F7" s="468"/>
      <c r="G7" s="468"/>
      <c r="H7" s="468"/>
      <c r="I7" s="468"/>
      <c r="L7" s="210"/>
      <c r="M7" s="210"/>
      <c r="N7" s="210"/>
      <c r="O7" s="210"/>
    </row>
    <row r="8" spans="2:15" ht="23.25" customHeight="1">
      <c r="B8" s="462"/>
      <c r="C8" s="463"/>
      <c r="D8" s="463"/>
      <c r="E8" s="464"/>
      <c r="F8" s="468"/>
      <c r="G8" s="468"/>
      <c r="H8" s="468"/>
      <c r="I8" s="468"/>
      <c r="L8" s="210"/>
      <c r="M8" s="210"/>
      <c r="N8" s="210"/>
      <c r="O8" s="210"/>
    </row>
    <row r="9" spans="2:15" ht="24" customHeight="1">
      <c r="B9" s="465"/>
      <c r="C9" s="466"/>
      <c r="D9" s="466"/>
      <c r="E9" s="467"/>
      <c r="F9" s="468"/>
      <c r="G9" s="468"/>
      <c r="H9" s="468"/>
      <c r="I9" s="468"/>
      <c r="L9" s="210"/>
      <c r="M9" s="210"/>
      <c r="N9" s="210"/>
      <c r="O9" s="210"/>
    </row>
    <row r="10" spans="2:15" ht="13.5" thickBot="1">
      <c r="B10" s="211" t="s">
        <v>246</v>
      </c>
      <c r="C10" s="469" t="str">
        <f>+'List of ECMs'!A7</f>
        <v>ECM-5</v>
      </c>
      <c r="D10" s="469"/>
      <c r="E10" s="469"/>
      <c r="F10" s="469"/>
      <c r="G10" s="469"/>
      <c r="H10" s="469"/>
      <c r="I10" s="469"/>
    </row>
    <row r="11" spans="2:15" ht="13.5" thickBot="1">
      <c r="B11" s="212" t="s">
        <v>247</v>
      </c>
      <c r="C11" s="470"/>
      <c r="D11" s="470"/>
      <c r="E11" s="470"/>
      <c r="F11" s="470"/>
      <c r="G11" s="470"/>
      <c r="H11" s="470"/>
      <c r="I11" s="470"/>
    </row>
    <row r="12" spans="2:15" ht="13.5" thickBot="1">
      <c r="B12" s="212" t="s">
        <v>248</v>
      </c>
      <c r="C12" s="471" t="str">
        <f>+'List of ECMs'!B7</f>
        <v>Cambio tecnológico de ascensores actuales por equipos de mayor eficiencia energética</v>
      </c>
      <c r="D12" s="472"/>
      <c r="E12" s="472"/>
      <c r="F12" s="472"/>
      <c r="G12" s="472"/>
      <c r="H12" s="472"/>
      <c r="I12" s="473"/>
    </row>
    <row r="13" spans="2:15" ht="13.5" thickBot="1">
      <c r="B13" s="212" t="s">
        <v>19</v>
      </c>
      <c r="C13" s="454" t="str">
        <f>+'Unidades de Trabajo'!B9</f>
        <v>COP</v>
      </c>
      <c r="D13" s="455"/>
      <c r="E13" s="455"/>
      <c r="F13" s="455"/>
      <c r="G13" s="455"/>
      <c r="H13" s="455"/>
      <c r="I13" s="456"/>
    </row>
    <row r="14" spans="2:15" ht="13.5" thickBot="1">
      <c r="B14" s="212" t="s">
        <v>249</v>
      </c>
      <c r="C14" s="454" t="str">
        <f>+'Unidades de Trabajo'!B4</f>
        <v>kWh</v>
      </c>
      <c r="D14" s="455"/>
      <c r="E14" s="455"/>
      <c r="F14" s="455"/>
      <c r="G14" s="455"/>
      <c r="H14" s="455"/>
      <c r="I14" s="456"/>
    </row>
    <row r="15" spans="2:15" ht="13.5" thickBot="1">
      <c r="B15" s="212" t="s">
        <v>250</v>
      </c>
      <c r="C15" s="454" t="str">
        <f>+'Unidades de Trabajo'!B5</f>
        <v>m3</v>
      </c>
      <c r="D15" s="455"/>
      <c r="E15" s="455"/>
      <c r="F15" s="455"/>
      <c r="G15" s="455"/>
      <c r="H15" s="455"/>
      <c r="I15" s="456"/>
    </row>
    <row r="16" spans="2:15" ht="13.5" thickBot="1">
      <c r="B16" s="212" t="s">
        <v>251</v>
      </c>
      <c r="C16" s="454" t="str">
        <f>+'Unidades de Trabajo'!B6</f>
        <v>Gal</v>
      </c>
      <c r="D16" s="455"/>
      <c r="E16" s="455"/>
      <c r="F16" s="455"/>
      <c r="G16" s="455"/>
      <c r="H16" s="455"/>
      <c r="I16" s="456"/>
    </row>
    <row r="17" spans="2:12" ht="13.5" thickBot="1">
      <c r="B17" s="212" t="s">
        <v>252</v>
      </c>
      <c r="C17" s="454" t="str">
        <f>+'Unidades de Trabajo'!B7</f>
        <v>NA</v>
      </c>
      <c r="D17" s="455"/>
      <c r="E17" s="455"/>
      <c r="F17" s="455"/>
      <c r="G17" s="455"/>
      <c r="H17" s="455"/>
      <c r="I17" s="456"/>
    </row>
    <row r="18" spans="2:12" ht="13.5" thickBot="1">
      <c r="B18" s="213" t="s">
        <v>253</v>
      </c>
      <c r="C18" s="454" t="str">
        <f>+'Unidades de Trabajo'!B8</f>
        <v>m3</v>
      </c>
      <c r="D18" s="455"/>
      <c r="E18" s="455"/>
      <c r="F18" s="455"/>
      <c r="G18" s="455"/>
      <c r="H18" s="455"/>
      <c r="I18" s="456"/>
    </row>
    <row r="19" spans="2:12">
      <c r="B19" s="214"/>
    </row>
    <row r="20" spans="2:12" ht="18.75" thickBot="1">
      <c r="B20" s="215" t="s">
        <v>254</v>
      </c>
      <c r="C20" s="216"/>
      <c r="D20" s="216"/>
      <c r="F20" s="508" t="s">
        <v>255</v>
      </c>
      <c r="G20" s="508"/>
      <c r="H20" s="508"/>
      <c r="J20" s="217"/>
      <c r="K20" s="217"/>
      <c r="L20" s="217"/>
    </row>
    <row r="21" spans="2:12" ht="18.75" thickBot="1">
      <c r="B21" s="218" t="s">
        <v>256</v>
      </c>
      <c r="C21" s="279">
        <f>D100</f>
        <v>1907040000</v>
      </c>
      <c r="D21" s="219" t="str">
        <f>+C13</f>
        <v>COP</v>
      </c>
      <c r="E21" s="220"/>
      <c r="F21" s="318" t="s">
        <v>257</v>
      </c>
      <c r="G21" s="319">
        <f>IRR(C41:AB41)*100</f>
        <v>4.2954899045860584</v>
      </c>
      <c r="H21" s="318" t="s">
        <v>27</v>
      </c>
      <c r="J21" s="217"/>
      <c r="K21" s="223"/>
      <c r="L21" s="217"/>
    </row>
    <row r="22" spans="2:12" ht="18.75" thickBot="1">
      <c r="B22" s="218" t="s">
        <v>258</v>
      </c>
      <c r="C22" s="224">
        <v>25</v>
      </c>
      <c r="D22" s="219" t="s">
        <v>259</v>
      </c>
      <c r="F22" s="318" t="s">
        <v>260</v>
      </c>
      <c r="G22" s="320">
        <f>+C41+NPV(C34/100,D41:AB41)</f>
        <v>1589559138.9718623</v>
      </c>
      <c r="H22" s="318" t="str">
        <f>+C13</f>
        <v>COP</v>
      </c>
      <c r="J22" s="217"/>
      <c r="K22" s="226"/>
      <c r="L22" s="217"/>
    </row>
    <row r="23" spans="2:12" ht="15" thickBot="1">
      <c r="B23" s="218" t="s">
        <v>261</v>
      </c>
      <c r="C23" s="224">
        <v>25</v>
      </c>
      <c r="D23" s="219" t="s">
        <v>259</v>
      </c>
      <c r="F23" s="321" t="s">
        <v>262</v>
      </c>
      <c r="G23" s="322">
        <f>IF(C22&lt;=1,1,ABS(INTERCEPT(D44:AB44,D37:AB37))/ABS(SLOPE(D44:AB44,D37:AB37)))</f>
        <v>16.314227145548216</v>
      </c>
      <c r="H23" s="321" t="s">
        <v>263</v>
      </c>
      <c r="K23" s="229"/>
    </row>
    <row r="24" spans="2:12" ht="18.75" thickBot="1">
      <c r="B24" s="230"/>
      <c r="C24" s="231"/>
      <c r="D24" s="232"/>
      <c r="F24" s="321" t="s">
        <v>264</v>
      </c>
      <c r="G24" s="323">
        <f>D47</f>
        <v>80847081.751589999</v>
      </c>
      <c r="H24" s="318" t="s">
        <v>20</v>
      </c>
    </row>
    <row r="25" spans="2:12" ht="18.75" thickBot="1">
      <c r="F25" s="321" t="s">
        <v>265</v>
      </c>
      <c r="G25" s="322">
        <f>C27/(Electricidad!E17*12)*100</f>
        <v>3.5645129268092184</v>
      </c>
      <c r="H25" s="318" t="s">
        <v>27</v>
      </c>
      <c r="K25" s="234"/>
    </row>
    <row r="26" spans="2:12" ht="15.75" thickBot="1">
      <c r="B26" s="215" t="s">
        <v>266</v>
      </c>
      <c r="C26" s="215"/>
      <c r="D26" s="215"/>
      <c r="F26" s="321" t="s">
        <v>267</v>
      </c>
      <c r="G26" s="322">
        <f>C27*'Gráficos de control'!$N$37/1000</f>
        <v>14.696639999999999</v>
      </c>
      <c r="H26" s="321" t="s">
        <v>268</v>
      </c>
    </row>
    <row r="27" spans="2:12" ht="12.2" customHeight="1" thickBot="1">
      <c r="B27" s="235" t="s">
        <v>2</v>
      </c>
      <c r="C27" s="236">
        <v>116640</v>
      </c>
      <c r="D27" s="219" t="str">
        <f>+C14</f>
        <v>kWh</v>
      </c>
      <c r="E27" s="220"/>
    </row>
    <row r="28" spans="2:12" ht="13.5" thickBot="1">
      <c r="B28" s="235" t="s">
        <v>12</v>
      </c>
      <c r="C28" s="237"/>
      <c r="D28" s="219" t="str">
        <f>+C15</f>
        <v>m3</v>
      </c>
      <c r="I28" s="238"/>
    </row>
    <row r="29" spans="2:12" ht="13.5" thickBot="1">
      <c r="B29" s="235" t="s">
        <v>4</v>
      </c>
      <c r="C29" s="237"/>
      <c r="D29" s="219" t="str">
        <f>+C16</f>
        <v>Gal</v>
      </c>
      <c r="H29" s="25"/>
      <c r="I29" s="238"/>
    </row>
    <row r="30" spans="2:12" ht="13.5" thickBot="1">
      <c r="B30" s="235" t="s">
        <v>17</v>
      </c>
      <c r="C30" s="237"/>
      <c r="D30" s="219" t="str">
        <f>+C17</f>
        <v>NA</v>
      </c>
      <c r="H30" s="25"/>
      <c r="I30" s="238"/>
    </row>
    <row r="31" spans="2:12" ht="13.5" thickBot="1">
      <c r="B31" s="235" t="s">
        <v>24</v>
      </c>
      <c r="C31" s="239"/>
      <c r="D31" s="219" t="str">
        <f>+C18</f>
        <v>m3</v>
      </c>
    </row>
    <row r="32" spans="2:12" ht="12.2" customHeight="1" thickBot="1">
      <c r="B32" s="235" t="s">
        <v>6</v>
      </c>
      <c r="C32" s="239"/>
      <c r="D32" s="219" t="str">
        <f>+C13</f>
        <v>COP</v>
      </c>
    </row>
    <row r="33" spans="1:33" ht="13.5" thickBot="1">
      <c r="B33" s="235" t="s">
        <v>269</v>
      </c>
      <c r="C33" s="317">
        <v>0.35</v>
      </c>
      <c r="D33" s="219" t="s">
        <v>27</v>
      </c>
    </row>
    <row r="34" spans="1:33" ht="13.5" thickBot="1">
      <c r="B34" s="218" t="s">
        <v>270</v>
      </c>
      <c r="C34" s="317">
        <v>0.08</v>
      </c>
      <c r="D34" s="219" t="s">
        <v>27</v>
      </c>
      <c r="E34" s="240"/>
    </row>
    <row r="35" spans="1:33" ht="13.5" thickBot="1">
      <c r="B35" s="218" t="s">
        <v>271</v>
      </c>
      <c r="C35" s="237"/>
      <c r="D35" s="219" t="str">
        <f>+C13</f>
        <v>COP</v>
      </c>
      <c r="F35" s="241"/>
    </row>
    <row r="36" spans="1:33" ht="12.2" customHeight="1" thickBot="1"/>
    <row r="37" spans="1:33" ht="17.25" customHeight="1" thickBot="1">
      <c r="B37" s="242" t="s">
        <v>272</v>
      </c>
      <c r="C37" s="243">
        <v>0</v>
      </c>
      <c r="D37" s="243">
        <v>1</v>
      </c>
      <c r="E37" s="243">
        <v>2</v>
      </c>
      <c r="F37" s="243">
        <v>3</v>
      </c>
      <c r="G37" s="243">
        <v>4</v>
      </c>
      <c r="H37" s="243">
        <v>5</v>
      </c>
      <c r="I37" s="243">
        <v>6</v>
      </c>
      <c r="J37" s="243">
        <v>7</v>
      </c>
      <c r="K37" s="243">
        <v>8</v>
      </c>
      <c r="L37" s="243">
        <v>9</v>
      </c>
      <c r="M37" s="243">
        <v>10</v>
      </c>
      <c r="N37" s="244">
        <v>11</v>
      </c>
      <c r="O37" s="244">
        <v>12</v>
      </c>
      <c r="P37" s="244">
        <v>13</v>
      </c>
      <c r="Q37" s="244">
        <v>14</v>
      </c>
      <c r="R37" s="244">
        <v>15</v>
      </c>
      <c r="S37" s="244">
        <v>16</v>
      </c>
      <c r="T37" s="244">
        <v>17</v>
      </c>
      <c r="U37" s="244">
        <v>18</v>
      </c>
      <c r="V37" s="244">
        <v>19</v>
      </c>
      <c r="W37" s="244">
        <v>20</v>
      </c>
      <c r="X37" s="244">
        <v>21</v>
      </c>
      <c r="Y37" s="244">
        <v>22</v>
      </c>
      <c r="Z37" s="244">
        <v>23</v>
      </c>
      <c r="AA37" s="244">
        <v>24</v>
      </c>
      <c r="AB37" s="244">
        <v>25</v>
      </c>
      <c r="AC37" s="244">
        <v>26</v>
      </c>
      <c r="AD37" s="244">
        <v>27</v>
      </c>
      <c r="AE37" s="244">
        <v>28</v>
      </c>
      <c r="AF37" s="244">
        <v>29</v>
      </c>
      <c r="AG37" s="244">
        <v>30</v>
      </c>
    </row>
    <row r="38" spans="1:33">
      <c r="B38" s="245" t="s">
        <v>273</v>
      </c>
      <c r="C38" s="278">
        <f>-C21</f>
        <v>-1907040000</v>
      </c>
      <c r="D38" s="278">
        <v>0</v>
      </c>
      <c r="E38" s="278">
        <f>IF(E$37&lt;=$C$22,0,0)</f>
        <v>0</v>
      </c>
      <c r="F38" s="278">
        <f>IF(F$37&lt;=$C$22,0,0)</f>
        <v>0</v>
      </c>
      <c r="G38" s="278">
        <f t="shared" ref="G38:AG38" si="0">IF(G$37&lt;=$C$22,0,0)</f>
        <v>0</v>
      </c>
      <c r="H38" s="278">
        <f t="shared" si="0"/>
        <v>0</v>
      </c>
      <c r="I38" s="278">
        <f t="shared" si="0"/>
        <v>0</v>
      </c>
      <c r="J38" s="278">
        <f t="shared" si="0"/>
        <v>0</v>
      </c>
      <c r="K38" s="278">
        <f t="shared" si="0"/>
        <v>0</v>
      </c>
      <c r="L38" s="278">
        <f t="shared" si="0"/>
        <v>0</v>
      </c>
      <c r="M38" s="278">
        <f t="shared" si="0"/>
        <v>0</v>
      </c>
      <c r="N38" s="246">
        <f t="shared" si="0"/>
        <v>0</v>
      </c>
      <c r="O38" s="246">
        <f t="shared" si="0"/>
        <v>0</v>
      </c>
      <c r="P38" s="246">
        <f t="shared" si="0"/>
        <v>0</v>
      </c>
      <c r="Q38" s="246">
        <f t="shared" si="0"/>
        <v>0</v>
      </c>
      <c r="R38" s="246">
        <f t="shared" si="0"/>
        <v>0</v>
      </c>
      <c r="S38" s="246">
        <f t="shared" si="0"/>
        <v>0</v>
      </c>
      <c r="T38" s="246">
        <f t="shared" si="0"/>
        <v>0</v>
      </c>
      <c r="U38" s="246">
        <f t="shared" si="0"/>
        <v>0</v>
      </c>
      <c r="V38" s="246">
        <f t="shared" si="0"/>
        <v>0</v>
      </c>
      <c r="W38" s="246">
        <f t="shared" si="0"/>
        <v>0</v>
      </c>
      <c r="X38" s="246">
        <f t="shared" si="0"/>
        <v>0</v>
      </c>
      <c r="Y38" s="246">
        <f t="shared" si="0"/>
        <v>0</v>
      </c>
      <c r="Z38" s="246">
        <f t="shared" si="0"/>
        <v>0</v>
      </c>
      <c r="AA38" s="246">
        <f t="shared" si="0"/>
        <v>0</v>
      </c>
      <c r="AB38" s="246">
        <f t="shared" si="0"/>
        <v>0</v>
      </c>
      <c r="AC38" s="246">
        <f t="shared" si="0"/>
        <v>0</v>
      </c>
      <c r="AD38" s="246">
        <f t="shared" si="0"/>
        <v>0</v>
      </c>
      <c r="AE38" s="246">
        <f t="shared" si="0"/>
        <v>0</v>
      </c>
      <c r="AF38" s="246">
        <f t="shared" si="0"/>
        <v>0</v>
      </c>
      <c r="AG38" s="246">
        <f t="shared" si="0"/>
        <v>0</v>
      </c>
    </row>
    <row r="39" spans="1:33">
      <c r="B39" s="245" t="s">
        <v>274</v>
      </c>
      <c r="C39" s="278">
        <f>C60</f>
        <v>-12000000</v>
      </c>
      <c r="D39" s="278">
        <f>D60</f>
        <v>68847081.751589999</v>
      </c>
      <c r="E39" s="278">
        <f>IF(E$46&lt;=$C$22,E60,0)</f>
        <v>72889435.839169502</v>
      </c>
      <c r="F39" s="278">
        <f>IF(F$46&lt;=$C$22,F60,0)</f>
        <v>77133907.631127983</v>
      </c>
      <c r="G39" s="278">
        <f t="shared" ref="G39:AG39" si="1">IF(G$46&lt;=$C$22,G60,0)</f>
        <v>81590603.01268439</v>
      </c>
      <c r="H39" s="278">
        <f t="shared" si="1"/>
        <v>86270133.163318604</v>
      </c>
      <c r="I39" s="278">
        <f t="shared" si="1"/>
        <v>91183639.821484536</v>
      </c>
      <c r="J39" s="278">
        <f t="shared" si="1"/>
        <v>96342821.81255877</v>
      </c>
      <c r="K39" s="278">
        <f t="shared" si="1"/>
        <v>101759962.90318672</v>
      </c>
      <c r="L39" s="278">
        <f t="shared" si="1"/>
        <v>107447961.04834606</v>
      </c>
      <c r="M39" s="278">
        <f t="shared" si="1"/>
        <v>113420359.10076335</v>
      </c>
      <c r="N39" s="246">
        <f t="shared" si="1"/>
        <v>119691377.05580154</v>
      </c>
      <c r="O39" s="246">
        <f t="shared" si="1"/>
        <v>126275945.90859163</v>
      </c>
      <c r="P39" s="246">
        <f t="shared" si="1"/>
        <v>133189743.20402122</v>
      </c>
      <c r="Q39" s="246">
        <f t="shared" si="1"/>
        <v>140449230.36422226</v>
      </c>
      <c r="R39" s="246">
        <f t="shared" si="1"/>
        <v>148071691.88243338</v>
      </c>
      <c r="S39" s="246">
        <f t="shared" si="1"/>
        <v>156075276.47655508</v>
      </c>
      <c r="T39" s="246">
        <f t="shared" si="1"/>
        <v>164479040.30038285</v>
      </c>
      <c r="U39" s="246">
        <f t="shared" si="1"/>
        <v>173302992.315402</v>
      </c>
      <c r="V39" s="246">
        <f t="shared" si="1"/>
        <v>182568141.9311721</v>
      </c>
      <c r="W39" s="246">
        <f t="shared" si="1"/>
        <v>192296549.0277307</v>
      </c>
      <c r="X39" s="246">
        <f t="shared" si="1"/>
        <v>202511376.47911724</v>
      </c>
      <c r="Y39" s="246">
        <f t="shared" si="1"/>
        <v>213236945.30307314</v>
      </c>
      <c r="Z39" s="246">
        <f t="shared" si="1"/>
        <v>224498792.56822681</v>
      </c>
      <c r="AA39" s="246">
        <f t="shared" si="1"/>
        <v>236323732.19663814</v>
      </c>
      <c r="AB39" s="246">
        <f t="shared" si="1"/>
        <v>248739918.80647004</v>
      </c>
      <c r="AC39" s="246">
        <f t="shared" si="1"/>
        <v>0</v>
      </c>
      <c r="AD39" s="246">
        <f t="shared" si="1"/>
        <v>0</v>
      </c>
      <c r="AE39" s="246">
        <f t="shared" si="1"/>
        <v>0</v>
      </c>
      <c r="AF39" s="246">
        <f t="shared" si="1"/>
        <v>0</v>
      </c>
      <c r="AG39" s="246">
        <f t="shared" si="1"/>
        <v>0</v>
      </c>
    </row>
    <row r="40" spans="1:33">
      <c r="B40" s="245" t="s">
        <v>275</v>
      </c>
      <c r="C40" s="278">
        <f>C63</f>
        <v>0</v>
      </c>
      <c r="D40" s="278">
        <f>D63</f>
        <v>26020.813869435005</v>
      </c>
      <c r="E40" s="278">
        <f>IF(E$46&lt;=$C$22,E63,0)</f>
        <v>11872.574562906742</v>
      </c>
      <c r="F40" s="278">
        <f>IF(F$46&lt;=$C$22,F63,0)</f>
        <v>-2983.0767089479418</v>
      </c>
      <c r="G40" s="278">
        <f t="shared" ref="G40:AG40" si="2">IF(G$46&lt;=$C$22,G63,0)</f>
        <v>-18581.510544395362</v>
      </c>
      <c r="H40" s="278">
        <f t="shared" si="2"/>
        <v>-34959.866071615113</v>
      </c>
      <c r="I40" s="278">
        <f t="shared" si="2"/>
        <v>-52157.139375195875</v>
      </c>
      <c r="J40" s="278">
        <f t="shared" si="2"/>
        <v>-70214.276343955702</v>
      </c>
      <c r="K40" s="278">
        <f t="shared" si="2"/>
        <v>-89174.27016115353</v>
      </c>
      <c r="L40" s="278">
        <f t="shared" si="2"/>
        <v>-109082.2636692112</v>
      </c>
      <c r="M40" s="278">
        <f t="shared" si="2"/>
        <v>-129985.65685267173</v>
      </c>
      <c r="N40" s="246">
        <f t="shared" si="2"/>
        <v>-151934.21969530536</v>
      </c>
      <c r="O40" s="246">
        <f t="shared" si="2"/>
        <v>-174980.21068007071</v>
      </c>
      <c r="P40" s="246">
        <f t="shared" si="2"/>
        <v>-199178.50121407423</v>
      </c>
      <c r="Q40" s="246">
        <f t="shared" si="2"/>
        <v>-224586.70627477788</v>
      </c>
      <c r="R40" s="246">
        <f t="shared" si="2"/>
        <v>-251265.32158851682</v>
      </c>
      <c r="S40" s="246">
        <f t="shared" si="2"/>
        <v>-279277.86766794277</v>
      </c>
      <c r="T40" s="246">
        <f t="shared" si="2"/>
        <v>-308691.04105133994</v>
      </c>
      <c r="U40" s="246">
        <f t="shared" si="2"/>
        <v>-339574.87310390698</v>
      </c>
      <c r="V40" s="246">
        <f t="shared" si="2"/>
        <v>-372002.89675910235</v>
      </c>
      <c r="W40" s="246">
        <f t="shared" si="2"/>
        <v>-406052.32159705745</v>
      </c>
      <c r="X40" s="246">
        <f t="shared" si="2"/>
        <v>-441804.21767691034</v>
      </c>
      <c r="Y40" s="246">
        <f t="shared" si="2"/>
        <v>-479343.70856075594</v>
      </c>
      <c r="Z40" s="246">
        <f t="shared" si="2"/>
        <v>-518760.1739887938</v>
      </c>
      <c r="AA40" s="246">
        <f t="shared" si="2"/>
        <v>-560147.46268823347</v>
      </c>
      <c r="AB40" s="246">
        <f t="shared" si="2"/>
        <v>-603604.11582264502</v>
      </c>
      <c r="AC40" s="246">
        <f t="shared" si="2"/>
        <v>0</v>
      </c>
      <c r="AD40" s="246">
        <f t="shared" si="2"/>
        <v>0</v>
      </c>
      <c r="AE40" s="246">
        <f t="shared" si="2"/>
        <v>0</v>
      </c>
      <c r="AF40" s="246">
        <f t="shared" si="2"/>
        <v>0</v>
      </c>
      <c r="AG40" s="246">
        <f t="shared" si="2"/>
        <v>0</v>
      </c>
    </row>
    <row r="41" spans="1:33" ht="15">
      <c r="B41" s="247" t="s">
        <v>276</v>
      </c>
      <c r="C41" s="280">
        <f>SUM(C38:C40)</f>
        <v>-1919040000</v>
      </c>
      <c r="D41" s="280">
        <f>SUM(D38:D40)</f>
        <v>68873102.56545943</v>
      </c>
      <c r="E41" s="280">
        <f>IF(E$46&lt;=$C$22,SUM(E38:E40),0)</f>
        <v>72901308.413732409</v>
      </c>
      <c r="F41" s="280">
        <f>IF(F$46&lt;=$C$22,SUM(F38:F40),0)</f>
        <v>77130924.554419041</v>
      </c>
      <c r="G41" s="280">
        <f t="shared" ref="G41:AG41" si="3">IF(G$46&lt;=$C$22,SUM(G38:G40),0)</f>
        <v>81572021.50214</v>
      </c>
      <c r="H41" s="280">
        <f t="shared" si="3"/>
        <v>86235173.297246993</v>
      </c>
      <c r="I41" s="280">
        <f t="shared" si="3"/>
        <v>91131482.682109341</v>
      </c>
      <c r="J41" s="280">
        <f t="shared" si="3"/>
        <v>96272607.536214814</v>
      </c>
      <c r="K41" s="280">
        <f t="shared" si="3"/>
        <v>101670788.63302557</v>
      </c>
      <c r="L41" s="280">
        <f t="shared" si="3"/>
        <v>107338878.78467685</v>
      </c>
      <c r="M41" s="280">
        <f t="shared" si="3"/>
        <v>113290373.44391067</v>
      </c>
      <c r="N41" s="248">
        <f t="shared" si="3"/>
        <v>119539442.83610624</v>
      </c>
      <c r="O41" s="248">
        <f t="shared" si="3"/>
        <v>126100965.69791156</v>
      </c>
      <c r="P41" s="248">
        <f t="shared" si="3"/>
        <v>132990564.70280714</v>
      </c>
      <c r="Q41" s="248">
        <f t="shared" si="3"/>
        <v>140224643.65794748</v>
      </c>
      <c r="R41" s="248">
        <f t="shared" si="3"/>
        <v>147820426.56084487</v>
      </c>
      <c r="S41" s="248">
        <f t="shared" si="3"/>
        <v>155795998.60888714</v>
      </c>
      <c r="T41" s="248">
        <f t="shared" si="3"/>
        <v>164170349.25933152</v>
      </c>
      <c r="U41" s="248">
        <f t="shared" si="3"/>
        <v>172963417.44229808</v>
      </c>
      <c r="V41" s="248">
        <f t="shared" si="3"/>
        <v>182196139.03441301</v>
      </c>
      <c r="W41" s="248">
        <f t="shared" si="3"/>
        <v>191890496.70613363</v>
      </c>
      <c r="X41" s="248">
        <f t="shared" si="3"/>
        <v>202069572.26144034</v>
      </c>
      <c r="Y41" s="248">
        <f t="shared" si="3"/>
        <v>212757601.59451237</v>
      </c>
      <c r="Z41" s="248">
        <f t="shared" si="3"/>
        <v>223980032.39423802</v>
      </c>
      <c r="AA41" s="248">
        <f t="shared" si="3"/>
        <v>235763584.7339499</v>
      </c>
      <c r="AB41" s="248">
        <f t="shared" si="3"/>
        <v>248136314.69064739</v>
      </c>
      <c r="AC41" s="248">
        <f t="shared" si="3"/>
        <v>0</v>
      </c>
      <c r="AD41" s="248">
        <f t="shared" si="3"/>
        <v>0</v>
      </c>
      <c r="AE41" s="248">
        <f t="shared" si="3"/>
        <v>0</v>
      </c>
      <c r="AF41" s="248">
        <f t="shared" si="3"/>
        <v>0</v>
      </c>
      <c r="AG41" s="248">
        <f t="shared" si="3"/>
        <v>0</v>
      </c>
    </row>
    <row r="42" spans="1:33" ht="14.25">
      <c r="B42" s="249" t="s">
        <v>277</v>
      </c>
      <c r="C42" s="278">
        <f>C41</f>
        <v>-1919040000</v>
      </c>
      <c r="D42" s="278">
        <f>C42+D41</f>
        <v>-1850166897.4345405</v>
      </c>
      <c r="E42" s="278">
        <f>IF(E$46&lt;=$C$22,D42+E41,0)</f>
        <v>-1777265589.0208082</v>
      </c>
      <c r="F42" s="278">
        <f>IF(F$46&lt;=$C$22,E42+F41,0)</f>
        <v>-1700134664.4663892</v>
      </c>
      <c r="G42" s="278">
        <f t="shared" ref="G42:AG42" si="4">IF(G$46&lt;=$C$22,F42+G41,0)</f>
        <v>-1618562642.9642491</v>
      </c>
      <c r="H42" s="278">
        <f t="shared" si="4"/>
        <v>-1532327469.6670022</v>
      </c>
      <c r="I42" s="278">
        <f t="shared" si="4"/>
        <v>-1441195986.9848928</v>
      </c>
      <c r="J42" s="278">
        <f t="shared" si="4"/>
        <v>-1344923379.448678</v>
      </c>
      <c r="K42" s="278">
        <f t="shared" si="4"/>
        <v>-1243252590.8156524</v>
      </c>
      <c r="L42" s="278">
        <f t="shared" si="4"/>
        <v>-1135913712.0309756</v>
      </c>
      <c r="M42" s="278">
        <f t="shared" si="4"/>
        <v>-1022623338.5870649</v>
      </c>
      <c r="N42" s="246">
        <f t="shared" si="4"/>
        <v>-903083895.75095868</v>
      </c>
      <c r="O42" s="246">
        <f t="shared" si="4"/>
        <v>-776982930.05304718</v>
      </c>
      <c r="P42" s="246">
        <f t="shared" si="4"/>
        <v>-643992365.35023999</v>
      </c>
      <c r="Q42" s="246">
        <f t="shared" si="4"/>
        <v>-503767721.69229251</v>
      </c>
      <c r="R42" s="246">
        <f t="shared" si="4"/>
        <v>-355947295.13144767</v>
      </c>
      <c r="S42" s="246">
        <f t="shared" si="4"/>
        <v>-200151296.52256054</v>
      </c>
      <c r="T42" s="246">
        <f t="shared" si="4"/>
        <v>-35980947.263229012</v>
      </c>
      <c r="U42" s="246">
        <f t="shared" si="4"/>
        <v>136982470.17906907</v>
      </c>
      <c r="V42" s="246">
        <f t="shared" si="4"/>
        <v>319178609.21348208</v>
      </c>
      <c r="W42" s="246">
        <f t="shared" si="4"/>
        <v>511069105.91961575</v>
      </c>
      <c r="X42" s="246">
        <f t="shared" si="4"/>
        <v>713138678.18105602</v>
      </c>
      <c r="Y42" s="246">
        <f t="shared" si="4"/>
        <v>925896279.77556837</v>
      </c>
      <c r="Z42" s="246">
        <f t="shared" si="4"/>
        <v>1149876312.1698065</v>
      </c>
      <c r="AA42" s="246">
        <f t="shared" si="4"/>
        <v>1385639896.9037564</v>
      </c>
      <c r="AB42" s="246">
        <f t="shared" si="4"/>
        <v>1633776211.5944037</v>
      </c>
      <c r="AC42" s="246">
        <f t="shared" si="4"/>
        <v>0</v>
      </c>
      <c r="AD42" s="246">
        <f t="shared" si="4"/>
        <v>0</v>
      </c>
      <c r="AE42" s="246">
        <f t="shared" si="4"/>
        <v>0</v>
      </c>
      <c r="AF42" s="246">
        <f t="shared" si="4"/>
        <v>0</v>
      </c>
      <c r="AG42" s="246">
        <f t="shared" si="4"/>
        <v>0</v>
      </c>
    </row>
    <row r="43" spans="1:33" ht="14.25">
      <c r="B43" s="249" t="s">
        <v>278</v>
      </c>
      <c r="C43" s="278">
        <f>C$41/(1+$C$34/100)^C37</f>
        <v>-1919040000</v>
      </c>
      <c r="D43" s="278">
        <f>D$41/(1+$C$34/100)^D37</f>
        <v>68818048.126957864</v>
      </c>
      <c r="E43" s="278">
        <f>IF(E$46&lt;=$C$22,E$41/(1+$C$34/100)^E37,0)</f>
        <v>72784806.141629875</v>
      </c>
      <c r="F43" s="278">
        <f>IF(F$46&lt;=$C$22,F$41/(1+$C$34/100)^F37,0)</f>
        <v>76946106.123801768</v>
      </c>
      <c r="G43" s="278">
        <f t="shared" ref="G43:AG43" si="5">IF(G$46&lt;=$C$22,G$41/(1+$C$34/100)^G37,0)</f>
        <v>81311512.260141194</v>
      </c>
      <c r="H43" s="278">
        <f t="shared" si="5"/>
        <v>85891058.918856353</v>
      </c>
      <c r="I43" s="278">
        <f t="shared" si="5"/>
        <v>90695273.764136344</v>
      </c>
      <c r="J43" s="278">
        <f t="shared" si="5"/>
        <v>95735202.006913215</v>
      </c>
      <c r="K43" s="278">
        <f t="shared" si="5"/>
        <v>101022431.84780738</v>
      </c>
      <c r="L43" s="278">
        <f t="shared" si="5"/>
        <v>106569121.17086571</v>
      </c>
      <c r="M43" s="278">
        <f t="shared" si="5"/>
        <v>112388025.54958148</v>
      </c>
      <c r="N43" s="246">
        <f t="shared" si="5"/>
        <v>118492527.62970921</v>
      </c>
      <c r="O43" s="246">
        <f t="shared" si="5"/>
        <v>124896667.95655799</v>
      </c>
      <c r="P43" s="246">
        <f t="shared" si="5"/>
        <v>131615177.31777608</v>
      </c>
      <c r="Q43" s="246">
        <f t="shared" si="5"/>
        <v>138663510.67612749</v>
      </c>
      <c r="R43" s="246">
        <f t="shared" si="5"/>
        <v>146057882.77042782</v>
      </c>
      <c r="S43" s="246">
        <f t="shared" si="5"/>
        <v>153815305.46664447</v>
      </c>
      <c r="T43" s="246">
        <f t="shared" si="5"/>
        <v>161953626.94520369</v>
      </c>
      <c r="U43" s="246">
        <f t="shared" si="5"/>
        <v>170491572.81477073</v>
      </c>
      <c r="V43" s="246">
        <f t="shared" si="5"/>
        <v>179448789.24721172</v>
      </c>
      <c r="W43" s="246">
        <f t="shared" si="5"/>
        <v>188845888.23309872</v>
      </c>
      <c r="X43" s="246">
        <f t="shared" si="5"/>
        <v>198704495.06200638</v>
      </c>
      <c r="Y43" s="246">
        <f t="shared" si="5"/>
        <v>209047298.13697109</v>
      </c>
      <c r="Z43" s="246">
        <f t="shared" si="5"/>
        <v>219898101.23786336</v>
      </c>
      <c r="AA43" s="246">
        <f t="shared" si="5"/>
        <v>231281878.3540616</v>
      </c>
      <c r="AB43" s="246">
        <f t="shared" si="5"/>
        <v>243224831.21273807</v>
      </c>
      <c r="AC43" s="246">
        <f t="shared" si="5"/>
        <v>0</v>
      </c>
      <c r="AD43" s="246">
        <f t="shared" si="5"/>
        <v>0</v>
      </c>
      <c r="AE43" s="246">
        <f t="shared" si="5"/>
        <v>0</v>
      </c>
      <c r="AF43" s="246">
        <f t="shared" si="5"/>
        <v>0</v>
      </c>
      <c r="AG43" s="246">
        <f t="shared" si="5"/>
        <v>0</v>
      </c>
    </row>
    <row r="44" spans="1:33" ht="14.25">
      <c r="B44" s="249" t="s">
        <v>279</v>
      </c>
      <c r="C44" s="278">
        <f>+C43</f>
        <v>-1919040000</v>
      </c>
      <c r="D44" s="278">
        <f>+C44+D43</f>
        <v>-1850221951.8730421</v>
      </c>
      <c r="E44" s="278">
        <f>IF(E$46&lt;=$C$22,+E43+D44,"")</f>
        <v>-1777437145.7314122</v>
      </c>
      <c r="F44" s="278">
        <f t="shared" ref="F44:T44" si="6">IF(F$46&lt;=$C$22,+F43+E44,"")</f>
        <v>-1700491039.6076105</v>
      </c>
      <c r="G44" s="278">
        <f t="shared" si="6"/>
        <v>-1619179527.3474693</v>
      </c>
      <c r="H44" s="278">
        <f t="shared" si="6"/>
        <v>-1533288468.4286129</v>
      </c>
      <c r="I44" s="278">
        <f t="shared" si="6"/>
        <v>-1442593194.6644766</v>
      </c>
      <c r="J44" s="278">
        <f t="shared" si="6"/>
        <v>-1346857992.6575634</v>
      </c>
      <c r="K44" s="278">
        <f t="shared" si="6"/>
        <v>-1245835560.809756</v>
      </c>
      <c r="L44" s="278">
        <f t="shared" si="6"/>
        <v>-1139266439.6388903</v>
      </c>
      <c r="M44" s="278">
        <f t="shared" si="6"/>
        <v>-1026878414.0893087</v>
      </c>
      <c r="N44" s="246">
        <f t="shared" si="6"/>
        <v>-908385886.45959949</v>
      </c>
      <c r="O44" s="246">
        <f t="shared" si="6"/>
        <v>-783489218.50304151</v>
      </c>
      <c r="P44" s="246">
        <f t="shared" si="6"/>
        <v>-651874041.18526542</v>
      </c>
      <c r="Q44" s="246">
        <f t="shared" si="6"/>
        <v>-513210530.50913793</v>
      </c>
      <c r="R44" s="246">
        <f t="shared" si="6"/>
        <v>-367152647.73871011</v>
      </c>
      <c r="S44" s="246">
        <f t="shared" si="6"/>
        <v>-213337342.27206564</v>
      </c>
      <c r="T44" s="246">
        <f t="shared" si="6"/>
        <v>-51383715.326861948</v>
      </c>
      <c r="U44" s="246">
        <f t="shared" ref="U44:AG44" si="7">IF(U$46&lt;=$C$22,+U43+T44,0)</f>
        <v>119107857.48790878</v>
      </c>
      <c r="V44" s="246">
        <f t="shared" si="7"/>
        <v>298556646.73512053</v>
      </c>
      <c r="W44" s="246">
        <f t="shared" si="7"/>
        <v>487402534.96821928</v>
      </c>
      <c r="X44" s="246">
        <f t="shared" si="7"/>
        <v>686107030.03022563</v>
      </c>
      <c r="Y44" s="246">
        <f t="shared" si="7"/>
        <v>895154328.16719675</v>
      </c>
      <c r="Z44" s="246">
        <f t="shared" si="7"/>
        <v>1115052429.4050601</v>
      </c>
      <c r="AA44" s="246">
        <f t="shared" si="7"/>
        <v>1346334307.7591217</v>
      </c>
      <c r="AB44" s="246">
        <f t="shared" si="7"/>
        <v>1589559138.9718597</v>
      </c>
      <c r="AC44" s="246">
        <f t="shared" si="7"/>
        <v>0</v>
      </c>
      <c r="AD44" s="246">
        <f t="shared" si="7"/>
        <v>0</v>
      </c>
      <c r="AE44" s="246">
        <f t="shared" si="7"/>
        <v>0</v>
      </c>
      <c r="AF44" s="246">
        <f t="shared" si="7"/>
        <v>0</v>
      </c>
      <c r="AG44" s="246">
        <f t="shared" si="7"/>
        <v>0</v>
      </c>
    </row>
    <row r="45" spans="1:33" ht="13.5" thickBot="1">
      <c r="I45" s="250"/>
    </row>
    <row r="46" spans="1:33" ht="15.75" thickBot="1">
      <c r="B46" s="251" t="s">
        <v>280</v>
      </c>
      <c r="C46" s="252">
        <v>0</v>
      </c>
      <c r="D46" s="252">
        <v>1</v>
      </c>
      <c r="E46" s="252">
        <v>2</v>
      </c>
      <c r="F46" s="252">
        <v>3</v>
      </c>
      <c r="G46" s="252">
        <v>4</v>
      </c>
      <c r="H46" s="252">
        <v>5</v>
      </c>
      <c r="I46" s="252">
        <v>6</v>
      </c>
      <c r="J46" s="252">
        <v>7</v>
      </c>
      <c r="K46" s="252">
        <v>8</v>
      </c>
      <c r="L46" s="252">
        <v>9</v>
      </c>
      <c r="M46" s="252">
        <v>10</v>
      </c>
      <c r="N46" s="253">
        <v>11</v>
      </c>
      <c r="O46" s="244">
        <v>12</v>
      </c>
      <c r="P46" s="244">
        <v>13</v>
      </c>
      <c r="Q46" s="244">
        <v>14</v>
      </c>
      <c r="R46" s="244">
        <v>15</v>
      </c>
      <c r="S46" s="244">
        <v>16</v>
      </c>
      <c r="T46" s="244">
        <v>17</v>
      </c>
      <c r="U46" s="244">
        <v>18</v>
      </c>
      <c r="V46" s="244">
        <v>19</v>
      </c>
      <c r="W46" s="244">
        <v>20</v>
      </c>
      <c r="X46" s="244">
        <v>21</v>
      </c>
      <c r="Y46" s="244">
        <v>22</v>
      </c>
      <c r="Z46" s="244">
        <v>23</v>
      </c>
      <c r="AA46" s="244">
        <v>24</v>
      </c>
      <c r="AB46" s="244">
        <v>25</v>
      </c>
      <c r="AC46" s="244">
        <v>26</v>
      </c>
      <c r="AD46" s="244">
        <v>27</v>
      </c>
      <c r="AE46" s="244">
        <v>28</v>
      </c>
      <c r="AF46" s="244">
        <v>29</v>
      </c>
      <c r="AG46" s="244">
        <v>30</v>
      </c>
    </row>
    <row r="47" spans="1:33" ht="13.5" thickBot="1">
      <c r="B47" s="245" t="s">
        <v>281</v>
      </c>
      <c r="C47" s="281">
        <f>C48*C49+C50*C51+C56*C57+C58</f>
        <v>0</v>
      </c>
      <c r="D47" s="281">
        <f>D48*D49+D50*D51+D52*D53+D54*D55+D56*D57+D58</f>
        <v>80847081.751589999</v>
      </c>
      <c r="E47" s="281">
        <f>IF(E$46&lt;=$C$22,E48*E49+E50*E51+E52*E53+E54*E55+E56*E57+E58,0)</f>
        <v>84889435.839169502</v>
      </c>
      <c r="F47" s="281">
        <f t="shared" ref="F47:AG47" si="8">IF(F$46&lt;=$C$22,F48*F49+F50*F51+F52*F53+F54*F55+F56*F57+F58,0)</f>
        <v>89133907.631127983</v>
      </c>
      <c r="G47" s="254">
        <f t="shared" si="8"/>
        <v>93590603.01268439</v>
      </c>
      <c r="H47" s="254">
        <f t="shared" si="8"/>
        <v>98270133.163318604</v>
      </c>
      <c r="I47" s="281">
        <f t="shared" si="8"/>
        <v>103183639.82148454</v>
      </c>
      <c r="J47" s="281">
        <f t="shared" si="8"/>
        <v>108342821.81255877</v>
      </c>
      <c r="K47" s="281">
        <f t="shared" si="8"/>
        <v>113759962.90318672</v>
      </c>
      <c r="L47" s="254">
        <f t="shared" si="8"/>
        <v>119447961.04834606</v>
      </c>
      <c r="M47" s="254">
        <f t="shared" si="8"/>
        <v>125420359.10076335</v>
      </c>
      <c r="N47" s="254">
        <f t="shared" si="8"/>
        <v>131691377.05580154</v>
      </c>
      <c r="O47" s="254">
        <f t="shared" si="8"/>
        <v>138275945.90859163</v>
      </c>
      <c r="P47" s="254">
        <f t="shared" si="8"/>
        <v>145189743.20402122</v>
      </c>
      <c r="Q47" s="254">
        <f t="shared" si="8"/>
        <v>152449230.36422226</v>
      </c>
      <c r="R47" s="254">
        <f t="shared" si="8"/>
        <v>160071691.88243338</v>
      </c>
      <c r="S47" s="254">
        <f t="shared" si="8"/>
        <v>168075276.47655508</v>
      </c>
      <c r="T47" s="254">
        <f t="shared" si="8"/>
        <v>176479040.30038285</v>
      </c>
      <c r="U47" s="254">
        <f t="shared" si="8"/>
        <v>185302992.315402</v>
      </c>
      <c r="V47" s="254">
        <f t="shared" si="8"/>
        <v>194568141.9311721</v>
      </c>
      <c r="W47" s="254">
        <f t="shared" si="8"/>
        <v>204296549.0277307</v>
      </c>
      <c r="X47" s="254">
        <f t="shared" si="8"/>
        <v>214511376.47911724</v>
      </c>
      <c r="Y47" s="254">
        <f t="shared" si="8"/>
        <v>225236945.30307314</v>
      </c>
      <c r="Z47" s="254">
        <f t="shared" si="8"/>
        <v>236498792.56822681</v>
      </c>
      <c r="AA47" s="254">
        <f t="shared" si="8"/>
        <v>248323732.19663814</v>
      </c>
      <c r="AB47" s="254">
        <f t="shared" si="8"/>
        <v>260739918.80647004</v>
      </c>
      <c r="AC47" s="254">
        <f t="shared" si="8"/>
        <v>0</v>
      </c>
      <c r="AD47" s="254">
        <f t="shared" si="8"/>
        <v>0</v>
      </c>
      <c r="AE47" s="254">
        <f t="shared" si="8"/>
        <v>0</v>
      </c>
      <c r="AF47" s="254">
        <f t="shared" si="8"/>
        <v>0</v>
      </c>
      <c r="AG47" s="254">
        <f t="shared" si="8"/>
        <v>0</v>
      </c>
    </row>
    <row r="48" spans="1:33">
      <c r="A48" s="474" t="s">
        <v>2</v>
      </c>
      <c r="B48" s="256" t="str">
        <f>"Ahorros ("&amp;D27&amp;")"</f>
        <v>Ahorros (kWh)</v>
      </c>
      <c r="C48" s="282"/>
      <c r="D48" s="254">
        <f>IF(D46&gt;$C$22,0,$C$27)</f>
        <v>116640</v>
      </c>
      <c r="E48" s="254">
        <f>IF(E$46&lt;=$C$22,IF(E46&gt;$C$22,0,$C$27),0)</f>
        <v>116640</v>
      </c>
      <c r="F48" s="254">
        <f t="shared" ref="F48:AG48" si="9">IF(F$46&lt;=$C$22,IF(F46&gt;$C$22,0,$C$27),0)</f>
        <v>116640</v>
      </c>
      <c r="G48" s="254">
        <f t="shared" si="9"/>
        <v>116640</v>
      </c>
      <c r="H48" s="254">
        <f t="shared" si="9"/>
        <v>116640</v>
      </c>
      <c r="I48" s="254">
        <f t="shared" si="9"/>
        <v>116640</v>
      </c>
      <c r="J48" s="254">
        <f t="shared" si="9"/>
        <v>116640</v>
      </c>
      <c r="K48" s="254">
        <f t="shared" si="9"/>
        <v>116640</v>
      </c>
      <c r="L48" s="254">
        <f t="shared" si="9"/>
        <v>116640</v>
      </c>
      <c r="M48" s="254">
        <f t="shared" si="9"/>
        <v>116640</v>
      </c>
      <c r="N48" s="254">
        <f t="shared" si="9"/>
        <v>116640</v>
      </c>
      <c r="O48" s="254">
        <f t="shared" si="9"/>
        <v>116640</v>
      </c>
      <c r="P48" s="254">
        <f t="shared" si="9"/>
        <v>116640</v>
      </c>
      <c r="Q48" s="254">
        <f t="shared" si="9"/>
        <v>116640</v>
      </c>
      <c r="R48" s="254">
        <f t="shared" si="9"/>
        <v>116640</v>
      </c>
      <c r="S48" s="254">
        <f t="shared" si="9"/>
        <v>116640</v>
      </c>
      <c r="T48" s="254">
        <f t="shared" si="9"/>
        <v>116640</v>
      </c>
      <c r="U48" s="254">
        <f t="shared" si="9"/>
        <v>116640</v>
      </c>
      <c r="V48" s="254">
        <f t="shared" si="9"/>
        <v>116640</v>
      </c>
      <c r="W48" s="254">
        <f t="shared" si="9"/>
        <v>116640</v>
      </c>
      <c r="X48" s="254">
        <f t="shared" si="9"/>
        <v>116640</v>
      </c>
      <c r="Y48" s="254">
        <f t="shared" si="9"/>
        <v>116640</v>
      </c>
      <c r="Z48" s="254">
        <f t="shared" si="9"/>
        <v>116640</v>
      </c>
      <c r="AA48" s="254">
        <f t="shared" si="9"/>
        <v>116640</v>
      </c>
      <c r="AB48" s="254">
        <f t="shared" si="9"/>
        <v>116640</v>
      </c>
      <c r="AC48" s="254">
        <f t="shared" si="9"/>
        <v>0</v>
      </c>
      <c r="AD48" s="254">
        <f t="shared" si="9"/>
        <v>0</v>
      </c>
      <c r="AE48" s="254">
        <f t="shared" si="9"/>
        <v>0</v>
      </c>
      <c r="AF48" s="254">
        <f t="shared" si="9"/>
        <v>0</v>
      </c>
      <c r="AG48" s="254">
        <f t="shared" si="9"/>
        <v>0</v>
      </c>
    </row>
    <row r="49" spans="1:33" ht="13.5" thickBot="1">
      <c r="A49" s="475"/>
      <c r="B49" s="256" t="str">
        <f>"Tarifa (COP/"&amp;D27&amp;")"</f>
        <v>Tarifa (COP/kWh)</v>
      </c>
      <c r="C49" s="282"/>
      <c r="D49" s="281">
        <f>+D70</f>
        <v>693.13341693749999</v>
      </c>
      <c r="E49" s="281">
        <f>IF(E$46&lt;=$C$22,+E70,0)</f>
        <v>727.79008778437503</v>
      </c>
      <c r="F49" s="281">
        <f t="shared" ref="F49:AG49" si="10">IF(F$46&lt;=$C$22,+F70,0)</f>
        <v>764.17959217359385</v>
      </c>
      <c r="G49" s="281">
        <f t="shared" si="10"/>
        <v>802.38857178227352</v>
      </c>
      <c r="H49" s="281">
        <f t="shared" si="10"/>
        <v>842.5080003713872</v>
      </c>
      <c r="I49" s="281">
        <f t="shared" si="10"/>
        <v>884.63340038995659</v>
      </c>
      <c r="J49" s="281">
        <f t="shared" si="10"/>
        <v>928.86507040945446</v>
      </c>
      <c r="K49" s="281">
        <f t="shared" si="10"/>
        <v>975.30832392992727</v>
      </c>
      <c r="L49" s="281">
        <f t="shared" si="10"/>
        <v>1024.0737401264237</v>
      </c>
      <c r="M49" s="281">
        <f t="shared" si="10"/>
        <v>1075.2774271327448</v>
      </c>
      <c r="N49" s="257">
        <f t="shared" si="10"/>
        <v>1129.0412984893821</v>
      </c>
      <c r="O49" s="257">
        <f t="shared" si="10"/>
        <v>1185.4933634138513</v>
      </c>
      <c r="P49" s="257">
        <f t="shared" si="10"/>
        <v>1244.7680315845439</v>
      </c>
      <c r="Q49" s="257">
        <f t="shared" si="10"/>
        <v>1307.0064331637711</v>
      </c>
      <c r="R49" s="257">
        <f t="shared" si="10"/>
        <v>1372.3567548219598</v>
      </c>
      <c r="S49" s="257">
        <f t="shared" si="10"/>
        <v>1440.974592563058</v>
      </c>
      <c r="T49" s="257">
        <f t="shared" si="10"/>
        <v>1513.023322191211</v>
      </c>
      <c r="U49" s="257">
        <f t="shared" si="10"/>
        <v>1588.6744883007716</v>
      </c>
      <c r="V49" s="257">
        <f t="shared" si="10"/>
        <v>1668.1082127158102</v>
      </c>
      <c r="W49" s="257">
        <f t="shared" si="10"/>
        <v>1751.5136233516007</v>
      </c>
      <c r="X49" s="257">
        <f t="shared" si="10"/>
        <v>1839.0893045191808</v>
      </c>
      <c r="Y49" s="257">
        <f t="shared" si="10"/>
        <v>1931.04376974514</v>
      </c>
      <c r="Z49" s="257">
        <f t="shared" si="10"/>
        <v>2027.5959582323972</v>
      </c>
      <c r="AA49" s="257">
        <f t="shared" si="10"/>
        <v>2128.9757561440169</v>
      </c>
      <c r="AB49" s="257">
        <f t="shared" si="10"/>
        <v>2235.4245439512179</v>
      </c>
      <c r="AC49" s="257">
        <f t="shared" si="10"/>
        <v>0</v>
      </c>
      <c r="AD49" s="257">
        <f t="shared" si="10"/>
        <v>0</v>
      </c>
      <c r="AE49" s="257">
        <f t="shared" si="10"/>
        <v>0</v>
      </c>
      <c r="AF49" s="257">
        <f t="shared" si="10"/>
        <v>0</v>
      </c>
      <c r="AG49" s="257">
        <f t="shared" si="10"/>
        <v>0</v>
      </c>
    </row>
    <row r="50" spans="1:33">
      <c r="A50" s="474" t="s">
        <v>12</v>
      </c>
      <c r="B50" s="256" t="str">
        <f>"Ahorro ("&amp;D28&amp;")"</f>
        <v>Ahorro (m3)</v>
      </c>
      <c r="C50" s="282"/>
      <c r="D50" s="254">
        <f>IF(D46&gt;$C$22,0,$C$28)</f>
        <v>0</v>
      </c>
      <c r="E50" s="254">
        <f>IF(E$46&lt;=$C$22,IF(E46&gt;$C$22,0,$C$28),0)</f>
        <v>0</v>
      </c>
      <c r="F50" s="254">
        <f t="shared" ref="F50:AG50" si="11">IF(F$46&lt;=$C$22,IF(F46&gt;$C$22,0,$C$28),0)</f>
        <v>0</v>
      </c>
      <c r="G50" s="254">
        <f t="shared" si="11"/>
        <v>0</v>
      </c>
      <c r="H50" s="254">
        <f t="shared" si="11"/>
        <v>0</v>
      </c>
      <c r="I50" s="254">
        <f t="shared" si="11"/>
        <v>0</v>
      </c>
      <c r="J50" s="254">
        <f t="shared" si="11"/>
        <v>0</v>
      </c>
      <c r="K50" s="254">
        <f t="shared" si="11"/>
        <v>0</v>
      </c>
      <c r="L50" s="254">
        <f t="shared" si="11"/>
        <v>0</v>
      </c>
      <c r="M50" s="254">
        <f t="shared" si="11"/>
        <v>0</v>
      </c>
      <c r="N50" s="254">
        <f t="shared" si="11"/>
        <v>0</v>
      </c>
      <c r="O50" s="254">
        <f t="shared" si="11"/>
        <v>0</v>
      </c>
      <c r="P50" s="254">
        <f t="shared" si="11"/>
        <v>0</v>
      </c>
      <c r="Q50" s="254">
        <f t="shared" si="11"/>
        <v>0</v>
      </c>
      <c r="R50" s="254">
        <f t="shared" si="11"/>
        <v>0</v>
      </c>
      <c r="S50" s="254">
        <f t="shared" si="11"/>
        <v>0</v>
      </c>
      <c r="T50" s="254">
        <f t="shared" si="11"/>
        <v>0</v>
      </c>
      <c r="U50" s="254">
        <f t="shared" si="11"/>
        <v>0</v>
      </c>
      <c r="V50" s="254">
        <f t="shared" si="11"/>
        <v>0</v>
      </c>
      <c r="W50" s="254">
        <f t="shared" si="11"/>
        <v>0</v>
      </c>
      <c r="X50" s="254">
        <f t="shared" si="11"/>
        <v>0</v>
      </c>
      <c r="Y50" s="254">
        <f t="shared" si="11"/>
        <v>0</v>
      </c>
      <c r="Z50" s="254">
        <f t="shared" si="11"/>
        <v>0</v>
      </c>
      <c r="AA50" s="254">
        <f t="shared" si="11"/>
        <v>0</v>
      </c>
      <c r="AB50" s="254">
        <f t="shared" si="11"/>
        <v>0</v>
      </c>
      <c r="AC50" s="254">
        <f t="shared" si="11"/>
        <v>0</v>
      </c>
      <c r="AD50" s="254">
        <f t="shared" si="11"/>
        <v>0</v>
      </c>
      <c r="AE50" s="254">
        <f t="shared" si="11"/>
        <v>0</v>
      </c>
      <c r="AF50" s="254">
        <f t="shared" si="11"/>
        <v>0</v>
      </c>
      <c r="AG50" s="254">
        <f t="shared" si="11"/>
        <v>0</v>
      </c>
    </row>
    <row r="51" spans="1:33" ht="13.5" thickBot="1">
      <c r="A51" s="475"/>
      <c r="B51" s="256" t="str">
        <f>"Tarifa (COP/"&amp;D28&amp;")"</f>
        <v>Tarifa (COP/m3)</v>
      </c>
      <c r="C51" s="282"/>
      <c r="D51" s="281">
        <f>+D71</f>
        <v>2877.3135354831925</v>
      </c>
      <c r="E51" s="281">
        <f>IF(E$46&lt;=$C$22,E71,0)</f>
        <v>3021.1792122573524</v>
      </c>
      <c r="F51" s="281">
        <f t="shared" ref="F51:AG51" si="12">IF(F$46&lt;=$C$22,F71,0)</f>
        <v>3172.2381728702203</v>
      </c>
      <c r="G51" s="281">
        <f t="shared" si="12"/>
        <v>3330.8500815137313</v>
      </c>
      <c r="H51" s="281">
        <f t="shared" si="12"/>
        <v>3497.3925855894181</v>
      </c>
      <c r="I51" s="281">
        <f t="shared" si="12"/>
        <v>3672.2622148688893</v>
      </c>
      <c r="J51" s="281">
        <f t="shared" si="12"/>
        <v>3855.8753256123341</v>
      </c>
      <c r="K51" s="281">
        <f t="shared" si="12"/>
        <v>4048.6690918929512</v>
      </c>
      <c r="L51" s="281">
        <f t="shared" si="12"/>
        <v>4251.1025464875993</v>
      </c>
      <c r="M51" s="281">
        <f t="shared" si="12"/>
        <v>4463.6576738119793</v>
      </c>
      <c r="N51" s="258">
        <f t="shared" si="12"/>
        <v>4686.8405575025781</v>
      </c>
      <c r="O51" s="258">
        <f t="shared" si="12"/>
        <v>4921.1825853777073</v>
      </c>
      <c r="P51" s="258">
        <f t="shared" si="12"/>
        <v>5167.2417146465932</v>
      </c>
      <c r="Q51" s="258">
        <f t="shared" si="12"/>
        <v>5425.6038003789236</v>
      </c>
      <c r="R51" s="258">
        <f t="shared" si="12"/>
        <v>5696.8839903978696</v>
      </c>
      <c r="S51" s="258">
        <f t="shared" si="12"/>
        <v>5981.7281899177633</v>
      </c>
      <c r="T51" s="258">
        <f t="shared" si="12"/>
        <v>6280.8145994136521</v>
      </c>
      <c r="U51" s="258">
        <f t="shared" si="12"/>
        <v>6594.8553293843352</v>
      </c>
      <c r="V51" s="258">
        <f t="shared" si="12"/>
        <v>6924.598095853552</v>
      </c>
      <c r="W51" s="258">
        <f t="shared" si="12"/>
        <v>7270.8280006462301</v>
      </c>
      <c r="X51" s="258">
        <f t="shared" si="12"/>
        <v>7634.3694006785418</v>
      </c>
      <c r="Y51" s="258">
        <f t="shared" si="12"/>
        <v>8016.0878707124693</v>
      </c>
      <c r="Z51" s="258">
        <f t="shared" si="12"/>
        <v>8416.8922642480939</v>
      </c>
      <c r="AA51" s="258">
        <f t="shared" si="12"/>
        <v>8837.7368774604984</v>
      </c>
      <c r="AB51" s="258">
        <f t="shared" si="12"/>
        <v>9279.6237213335244</v>
      </c>
      <c r="AC51" s="258">
        <f t="shared" si="12"/>
        <v>0</v>
      </c>
      <c r="AD51" s="258">
        <f t="shared" si="12"/>
        <v>0</v>
      </c>
      <c r="AE51" s="258">
        <f t="shared" si="12"/>
        <v>0</v>
      </c>
      <c r="AF51" s="258">
        <f t="shared" si="12"/>
        <v>0</v>
      </c>
      <c r="AG51" s="258">
        <f t="shared" si="12"/>
        <v>0</v>
      </c>
    </row>
    <row r="52" spans="1:33">
      <c r="A52" s="474" t="s">
        <v>4</v>
      </c>
      <c r="B52" s="256" t="str">
        <f>"Ahorro ("&amp;D29&amp;")"</f>
        <v>Ahorro (Gal)</v>
      </c>
      <c r="C52" s="282"/>
      <c r="D52" s="254">
        <f>IF(D48&gt;$C$22,0,$C$29)</f>
        <v>0</v>
      </c>
      <c r="E52" s="254">
        <f>IF(E$46&lt;=$C$22,IF(E48&gt;$C$22,0,$C$29),0)</f>
        <v>0</v>
      </c>
      <c r="F52" s="254">
        <f t="shared" ref="F52:AG52" si="13">IF(F$46&lt;=$C$22,IF(F48&gt;$C$22,0,$C$29),0)</f>
        <v>0</v>
      </c>
      <c r="G52" s="254">
        <f t="shared" si="13"/>
        <v>0</v>
      </c>
      <c r="H52" s="254">
        <f t="shared" si="13"/>
        <v>0</v>
      </c>
      <c r="I52" s="254">
        <f t="shared" si="13"/>
        <v>0</v>
      </c>
      <c r="J52" s="254">
        <f t="shared" si="13"/>
        <v>0</v>
      </c>
      <c r="K52" s="254">
        <f t="shared" si="13"/>
        <v>0</v>
      </c>
      <c r="L52" s="254">
        <f t="shared" si="13"/>
        <v>0</v>
      </c>
      <c r="M52" s="254">
        <f t="shared" si="13"/>
        <v>0</v>
      </c>
      <c r="N52" s="254">
        <f t="shared" si="13"/>
        <v>0</v>
      </c>
      <c r="O52" s="254">
        <f t="shared" si="13"/>
        <v>0</v>
      </c>
      <c r="P52" s="254">
        <f t="shared" si="13"/>
        <v>0</v>
      </c>
      <c r="Q52" s="254">
        <f t="shared" si="13"/>
        <v>0</v>
      </c>
      <c r="R52" s="254">
        <f t="shared" si="13"/>
        <v>0</v>
      </c>
      <c r="S52" s="254">
        <f t="shared" si="13"/>
        <v>0</v>
      </c>
      <c r="T52" s="254">
        <f t="shared" si="13"/>
        <v>0</v>
      </c>
      <c r="U52" s="254">
        <f t="shared" si="13"/>
        <v>0</v>
      </c>
      <c r="V52" s="254">
        <f t="shared" si="13"/>
        <v>0</v>
      </c>
      <c r="W52" s="254">
        <f t="shared" si="13"/>
        <v>0</v>
      </c>
      <c r="X52" s="254">
        <f t="shared" si="13"/>
        <v>0</v>
      </c>
      <c r="Y52" s="254">
        <f t="shared" si="13"/>
        <v>0</v>
      </c>
      <c r="Z52" s="254">
        <f t="shared" si="13"/>
        <v>0</v>
      </c>
      <c r="AA52" s="254">
        <f t="shared" si="13"/>
        <v>0</v>
      </c>
      <c r="AB52" s="254">
        <f t="shared" si="13"/>
        <v>0</v>
      </c>
      <c r="AC52" s="254">
        <f t="shared" si="13"/>
        <v>0</v>
      </c>
      <c r="AD52" s="254">
        <f t="shared" si="13"/>
        <v>0</v>
      </c>
      <c r="AE52" s="254">
        <f t="shared" si="13"/>
        <v>0</v>
      </c>
      <c r="AF52" s="254">
        <f t="shared" si="13"/>
        <v>0</v>
      </c>
      <c r="AG52" s="254">
        <f t="shared" si="13"/>
        <v>0</v>
      </c>
    </row>
    <row r="53" spans="1:33" ht="13.5" thickBot="1">
      <c r="A53" s="475"/>
      <c r="B53" s="256" t="str">
        <f>"Tarifa (COP/"&amp;D29&amp;")"</f>
        <v>Tarifa (COP/Gal)</v>
      </c>
      <c r="C53" s="282"/>
      <c r="D53" s="281">
        <f>+D72</f>
        <v>6549.9739969222646</v>
      </c>
      <c r="E53" s="281">
        <f>IF(E$46&lt;=$C$22,+E72,0)</f>
        <v>6877.4726967683782</v>
      </c>
      <c r="F53" s="281">
        <f t="shared" ref="F53:AG53" si="14">IF(F$46&lt;=$C$22,+F72,0)</f>
        <v>7221.3463316067973</v>
      </c>
      <c r="G53" s="281">
        <f t="shared" si="14"/>
        <v>7582.4136481871374</v>
      </c>
      <c r="H53" s="281">
        <f t="shared" si="14"/>
        <v>7961.5343305964943</v>
      </c>
      <c r="I53" s="281">
        <f t="shared" si="14"/>
        <v>8359.61104712632</v>
      </c>
      <c r="J53" s="281">
        <f t="shared" si="14"/>
        <v>8777.5915994826373</v>
      </c>
      <c r="K53" s="281">
        <f t="shared" si="14"/>
        <v>9216.4711794567702</v>
      </c>
      <c r="L53" s="281">
        <f t="shared" si="14"/>
        <v>9677.2947384296094</v>
      </c>
      <c r="M53" s="281">
        <f t="shared" si="14"/>
        <v>10161.159475351091</v>
      </c>
      <c r="N53" s="258">
        <f t="shared" si="14"/>
        <v>10669.217449118645</v>
      </c>
      <c r="O53" s="258">
        <f t="shared" si="14"/>
        <v>11202.678321574578</v>
      </c>
      <c r="P53" s="258">
        <f t="shared" si="14"/>
        <v>11762.812237653308</v>
      </c>
      <c r="Q53" s="258">
        <f t="shared" si="14"/>
        <v>12350.952849535974</v>
      </c>
      <c r="R53" s="258">
        <f t="shared" si="14"/>
        <v>12968.500492012772</v>
      </c>
      <c r="S53" s="258">
        <f t="shared" si="14"/>
        <v>13616.925516613412</v>
      </c>
      <c r="T53" s="258">
        <f t="shared" si="14"/>
        <v>14297.771792444082</v>
      </c>
      <c r="U53" s="258">
        <f t="shared" si="14"/>
        <v>15012.660382066288</v>
      </c>
      <c r="V53" s="258">
        <f t="shared" si="14"/>
        <v>15763.293401169603</v>
      </c>
      <c r="W53" s="258">
        <f t="shared" si="14"/>
        <v>16551.458071228084</v>
      </c>
      <c r="X53" s="258">
        <f t="shared" si="14"/>
        <v>17379.03097478949</v>
      </c>
      <c r="Y53" s="258">
        <f t="shared" si="14"/>
        <v>18247.982523528965</v>
      </c>
      <c r="Z53" s="258">
        <f t="shared" si="14"/>
        <v>19160.381649705414</v>
      </c>
      <c r="AA53" s="258">
        <f t="shared" si="14"/>
        <v>20118.400732190687</v>
      </c>
      <c r="AB53" s="258">
        <f t="shared" si="14"/>
        <v>21124.320768800222</v>
      </c>
      <c r="AC53" s="258">
        <f t="shared" si="14"/>
        <v>0</v>
      </c>
      <c r="AD53" s="258">
        <f t="shared" si="14"/>
        <v>0</v>
      </c>
      <c r="AE53" s="258">
        <f t="shared" si="14"/>
        <v>0</v>
      </c>
      <c r="AF53" s="258">
        <f t="shared" si="14"/>
        <v>0</v>
      </c>
      <c r="AG53" s="258">
        <f t="shared" si="14"/>
        <v>0</v>
      </c>
    </row>
    <row r="54" spans="1:33">
      <c r="A54" s="474" t="s">
        <v>17</v>
      </c>
      <c r="B54" s="256" t="str">
        <f>"Ahorro ("&amp;D30&amp;")"</f>
        <v>Ahorro (NA)</v>
      </c>
      <c r="C54" s="282"/>
      <c r="D54" s="254">
        <f>IF(D50&gt;$C$22,0,$C$30)</f>
        <v>0</v>
      </c>
      <c r="E54" s="254">
        <f>IF(E$46&lt;=$C$22,IF(E50&gt;$C$22,0,$C$30),0)</f>
        <v>0</v>
      </c>
      <c r="F54" s="254">
        <f t="shared" ref="F54:AG54" si="15">IF(F$46&lt;=$C$22,IF(F50&gt;$C$22,0,$C$30),0)</f>
        <v>0</v>
      </c>
      <c r="G54" s="254">
        <f t="shared" si="15"/>
        <v>0</v>
      </c>
      <c r="H54" s="254">
        <f t="shared" si="15"/>
        <v>0</v>
      </c>
      <c r="I54" s="254">
        <f t="shared" si="15"/>
        <v>0</v>
      </c>
      <c r="J54" s="254">
        <f t="shared" si="15"/>
        <v>0</v>
      </c>
      <c r="K54" s="254">
        <f t="shared" si="15"/>
        <v>0</v>
      </c>
      <c r="L54" s="254">
        <f t="shared" si="15"/>
        <v>0</v>
      </c>
      <c r="M54" s="254">
        <f t="shared" si="15"/>
        <v>0</v>
      </c>
      <c r="N54" s="254">
        <f t="shared" si="15"/>
        <v>0</v>
      </c>
      <c r="O54" s="254">
        <f t="shared" si="15"/>
        <v>0</v>
      </c>
      <c r="P54" s="254">
        <f t="shared" si="15"/>
        <v>0</v>
      </c>
      <c r="Q54" s="254">
        <f t="shared" si="15"/>
        <v>0</v>
      </c>
      <c r="R54" s="254">
        <f t="shared" si="15"/>
        <v>0</v>
      </c>
      <c r="S54" s="254">
        <f t="shared" si="15"/>
        <v>0</v>
      </c>
      <c r="T54" s="254">
        <f t="shared" si="15"/>
        <v>0</v>
      </c>
      <c r="U54" s="254">
        <f t="shared" si="15"/>
        <v>0</v>
      </c>
      <c r="V54" s="254">
        <f t="shared" si="15"/>
        <v>0</v>
      </c>
      <c r="W54" s="254">
        <f t="shared" si="15"/>
        <v>0</v>
      </c>
      <c r="X54" s="254">
        <f t="shared" si="15"/>
        <v>0</v>
      </c>
      <c r="Y54" s="254">
        <f t="shared" si="15"/>
        <v>0</v>
      </c>
      <c r="Z54" s="254">
        <f t="shared" si="15"/>
        <v>0</v>
      </c>
      <c r="AA54" s="254">
        <f t="shared" si="15"/>
        <v>0</v>
      </c>
      <c r="AB54" s="254">
        <f t="shared" si="15"/>
        <v>0</v>
      </c>
      <c r="AC54" s="254">
        <f t="shared" si="15"/>
        <v>0</v>
      </c>
      <c r="AD54" s="254">
        <f t="shared" si="15"/>
        <v>0</v>
      </c>
      <c r="AE54" s="254">
        <f t="shared" si="15"/>
        <v>0</v>
      </c>
      <c r="AF54" s="254">
        <f t="shared" si="15"/>
        <v>0</v>
      </c>
      <c r="AG54" s="254">
        <f t="shared" si="15"/>
        <v>0</v>
      </c>
    </row>
    <row r="55" spans="1:33" ht="13.5" thickBot="1">
      <c r="A55" s="475"/>
      <c r="B55" s="256" t="str">
        <f>"Tarifa (COP/"&amp;D31&amp;")"</f>
        <v>Tarifa (COP/m3)</v>
      </c>
      <c r="C55" s="282"/>
      <c r="D55" s="281">
        <f>+D73</f>
        <v>0</v>
      </c>
      <c r="E55" s="281">
        <f>IF(E$46&lt;=$C$22,E73,0)</f>
        <v>0</v>
      </c>
      <c r="F55" s="281">
        <f t="shared" ref="F55:AG55" si="16">IF(F$46&lt;=$C$22,F73,0)</f>
        <v>0</v>
      </c>
      <c r="G55" s="281">
        <f t="shared" si="16"/>
        <v>0</v>
      </c>
      <c r="H55" s="281">
        <f t="shared" si="16"/>
        <v>0</v>
      </c>
      <c r="I55" s="281">
        <f t="shared" si="16"/>
        <v>0</v>
      </c>
      <c r="J55" s="281">
        <f t="shared" si="16"/>
        <v>0</v>
      </c>
      <c r="K55" s="281">
        <f t="shared" si="16"/>
        <v>0</v>
      </c>
      <c r="L55" s="281">
        <f t="shared" si="16"/>
        <v>0</v>
      </c>
      <c r="M55" s="281">
        <f t="shared" si="16"/>
        <v>0</v>
      </c>
      <c r="N55" s="258">
        <f t="shared" si="16"/>
        <v>0</v>
      </c>
      <c r="O55" s="258">
        <f t="shared" si="16"/>
        <v>0</v>
      </c>
      <c r="P55" s="258">
        <f t="shared" si="16"/>
        <v>0</v>
      </c>
      <c r="Q55" s="258">
        <f t="shared" si="16"/>
        <v>0</v>
      </c>
      <c r="R55" s="258">
        <f t="shared" si="16"/>
        <v>0</v>
      </c>
      <c r="S55" s="258">
        <f t="shared" si="16"/>
        <v>0</v>
      </c>
      <c r="T55" s="258">
        <f t="shared" si="16"/>
        <v>0</v>
      </c>
      <c r="U55" s="258">
        <f t="shared" si="16"/>
        <v>0</v>
      </c>
      <c r="V55" s="258">
        <f t="shared" si="16"/>
        <v>0</v>
      </c>
      <c r="W55" s="258">
        <f t="shared" si="16"/>
        <v>0</v>
      </c>
      <c r="X55" s="258">
        <f t="shared" si="16"/>
        <v>0</v>
      </c>
      <c r="Y55" s="258">
        <f t="shared" si="16"/>
        <v>0</v>
      </c>
      <c r="Z55" s="258">
        <f t="shared" si="16"/>
        <v>0</v>
      </c>
      <c r="AA55" s="258">
        <f t="shared" si="16"/>
        <v>0</v>
      </c>
      <c r="AB55" s="258">
        <f t="shared" si="16"/>
        <v>0</v>
      </c>
      <c r="AC55" s="258">
        <f t="shared" si="16"/>
        <v>0</v>
      </c>
      <c r="AD55" s="258">
        <f t="shared" si="16"/>
        <v>0</v>
      </c>
      <c r="AE55" s="258">
        <f t="shared" si="16"/>
        <v>0</v>
      </c>
      <c r="AF55" s="258">
        <f t="shared" si="16"/>
        <v>0</v>
      </c>
      <c r="AG55" s="258">
        <f t="shared" si="16"/>
        <v>0</v>
      </c>
    </row>
    <row r="56" spans="1:33">
      <c r="A56" s="474" t="s">
        <v>24</v>
      </c>
      <c r="B56" s="256" t="str">
        <f>"Ahorro ("&amp;D31&amp;")"</f>
        <v>Ahorro (m3)</v>
      </c>
      <c r="C56" s="282"/>
      <c r="D56" s="254">
        <f>IF(D46&gt;$C$22,0,$C$31)</f>
        <v>0</v>
      </c>
      <c r="E56" s="254">
        <f>IF(E$46&lt;=$C$22,IF(E46&gt;$C$22,0,$C$31),0)</f>
        <v>0</v>
      </c>
      <c r="F56" s="254">
        <f t="shared" ref="F56:AG56" si="17">IF(F$46&lt;=$C$22,IF(F46&gt;$C$22,0,$C$31),0)</f>
        <v>0</v>
      </c>
      <c r="G56" s="254">
        <f t="shared" si="17"/>
        <v>0</v>
      </c>
      <c r="H56" s="254">
        <f t="shared" si="17"/>
        <v>0</v>
      </c>
      <c r="I56" s="254">
        <f t="shared" si="17"/>
        <v>0</v>
      </c>
      <c r="J56" s="254">
        <f t="shared" si="17"/>
        <v>0</v>
      </c>
      <c r="K56" s="254">
        <f t="shared" si="17"/>
        <v>0</v>
      </c>
      <c r="L56" s="254">
        <f t="shared" si="17"/>
        <v>0</v>
      </c>
      <c r="M56" s="254">
        <f t="shared" si="17"/>
        <v>0</v>
      </c>
      <c r="N56" s="254">
        <f t="shared" si="17"/>
        <v>0</v>
      </c>
      <c r="O56" s="254">
        <f t="shared" si="17"/>
        <v>0</v>
      </c>
      <c r="P56" s="254">
        <f t="shared" si="17"/>
        <v>0</v>
      </c>
      <c r="Q56" s="254">
        <f t="shared" si="17"/>
        <v>0</v>
      </c>
      <c r="R56" s="254">
        <f t="shared" si="17"/>
        <v>0</v>
      </c>
      <c r="S56" s="254">
        <f t="shared" si="17"/>
        <v>0</v>
      </c>
      <c r="T56" s="254">
        <f t="shared" si="17"/>
        <v>0</v>
      </c>
      <c r="U56" s="254">
        <f t="shared" si="17"/>
        <v>0</v>
      </c>
      <c r="V56" s="254">
        <f t="shared" si="17"/>
        <v>0</v>
      </c>
      <c r="W56" s="254">
        <f t="shared" si="17"/>
        <v>0</v>
      </c>
      <c r="X56" s="254">
        <f t="shared" si="17"/>
        <v>0</v>
      </c>
      <c r="Y56" s="254">
        <f t="shared" si="17"/>
        <v>0</v>
      </c>
      <c r="Z56" s="254">
        <f t="shared" si="17"/>
        <v>0</v>
      </c>
      <c r="AA56" s="254">
        <f t="shared" si="17"/>
        <v>0</v>
      </c>
      <c r="AB56" s="254">
        <f t="shared" si="17"/>
        <v>0</v>
      </c>
      <c r="AC56" s="254">
        <f t="shared" si="17"/>
        <v>0</v>
      </c>
      <c r="AD56" s="254">
        <f t="shared" si="17"/>
        <v>0</v>
      </c>
      <c r="AE56" s="254">
        <f t="shared" si="17"/>
        <v>0</v>
      </c>
      <c r="AF56" s="254">
        <f t="shared" si="17"/>
        <v>0</v>
      </c>
      <c r="AG56" s="254">
        <f t="shared" si="17"/>
        <v>0</v>
      </c>
    </row>
    <row r="57" spans="1:33" ht="13.5" thickBot="1">
      <c r="A57" s="475"/>
      <c r="B57" s="256" t="str">
        <f>"Tarifa (COP/"&amp;D31&amp;")"</f>
        <v>Tarifa (COP/m3)</v>
      </c>
      <c r="C57" s="282"/>
      <c r="D57" s="281">
        <f>+D74</f>
        <v>0</v>
      </c>
      <c r="E57" s="281">
        <f>IF(E$46&lt;=$C$22,+E74,0)</f>
        <v>0</v>
      </c>
      <c r="F57" s="281">
        <f t="shared" ref="F57:AG57" si="18">IF(F$46&lt;=$C$22,+F74,0)</f>
        <v>0</v>
      </c>
      <c r="G57" s="281">
        <f t="shared" si="18"/>
        <v>0</v>
      </c>
      <c r="H57" s="281">
        <f t="shared" si="18"/>
        <v>0</v>
      </c>
      <c r="I57" s="281">
        <f t="shared" si="18"/>
        <v>0</v>
      </c>
      <c r="J57" s="281">
        <f t="shared" si="18"/>
        <v>0</v>
      </c>
      <c r="K57" s="281">
        <f t="shared" si="18"/>
        <v>0</v>
      </c>
      <c r="L57" s="281">
        <f t="shared" si="18"/>
        <v>0</v>
      </c>
      <c r="M57" s="281">
        <f t="shared" si="18"/>
        <v>0</v>
      </c>
      <c r="N57" s="257">
        <f t="shared" si="18"/>
        <v>0</v>
      </c>
      <c r="O57" s="257">
        <f t="shared" si="18"/>
        <v>0</v>
      </c>
      <c r="P57" s="257">
        <f t="shared" si="18"/>
        <v>0</v>
      </c>
      <c r="Q57" s="257">
        <f t="shared" si="18"/>
        <v>0</v>
      </c>
      <c r="R57" s="257">
        <f t="shared" si="18"/>
        <v>0</v>
      </c>
      <c r="S57" s="257">
        <f t="shared" si="18"/>
        <v>0</v>
      </c>
      <c r="T57" s="257">
        <f t="shared" si="18"/>
        <v>0</v>
      </c>
      <c r="U57" s="257">
        <f t="shared" si="18"/>
        <v>0</v>
      </c>
      <c r="V57" s="257">
        <f t="shared" si="18"/>
        <v>0</v>
      </c>
      <c r="W57" s="257">
        <f t="shared" si="18"/>
        <v>0</v>
      </c>
      <c r="X57" s="257">
        <f t="shared" si="18"/>
        <v>0</v>
      </c>
      <c r="Y57" s="257">
        <f t="shared" si="18"/>
        <v>0</v>
      </c>
      <c r="Z57" s="257">
        <f t="shared" si="18"/>
        <v>0</v>
      </c>
      <c r="AA57" s="257">
        <f t="shared" si="18"/>
        <v>0</v>
      </c>
      <c r="AB57" s="257">
        <f t="shared" si="18"/>
        <v>0</v>
      </c>
      <c r="AC57" s="257">
        <f t="shared" si="18"/>
        <v>0</v>
      </c>
      <c r="AD57" s="257">
        <f t="shared" si="18"/>
        <v>0</v>
      </c>
      <c r="AE57" s="257">
        <f t="shared" si="18"/>
        <v>0</v>
      </c>
      <c r="AF57" s="257">
        <f t="shared" si="18"/>
        <v>0</v>
      </c>
      <c r="AG57" s="257">
        <f t="shared" si="18"/>
        <v>0</v>
      </c>
    </row>
    <row r="58" spans="1:33">
      <c r="A58" s="326" t="s">
        <v>6</v>
      </c>
      <c r="B58" s="256" t="str">
        <f>"Ahorro ("&amp;D32&amp;")"</f>
        <v>Ahorro (COP)</v>
      </c>
      <c r="C58" s="282"/>
      <c r="D58" s="281">
        <f>+C32</f>
        <v>0</v>
      </c>
      <c r="E58" s="281">
        <f>IF(E$46&lt;=$C$22,IF(E46&gt;$C$22,0,$C$32*(1+Mantenimiento!E9)),0)</f>
        <v>0</v>
      </c>
      <c r="F58" s="281">
        <f>IF(F$46&lt;=$C$22,IF(F46&gt;$C$22,0,$C$32*(1+Mantenimiento!F9)),0)</f>
        <v>0</v>
      </c>
      <c r="G58" s="281">
        <f>IF(G$46&lt;=$C$22,IF(G46&gt;$C$22,0,$C$32*(1+Mantenimiento!G9)),0)</f>
        <v>0</v>
      </c>
      <c r="H58" s="281">
        <f>IF(H$46&lt;=$C$22,IF(H46&gt;$C$22,0,$C$32*(1+Mantenimiento!H9)),0)</f>
        <v>0</v>
      </c>
      <c r="I58" s="281">
        <f>IF(I$46&lt;=$C$22,IF(I46&gt;$C$22,0,$C$32*(1+Mantenimiento!I9)),0)</f>
        <v>0</v>
      </c>
      <c r="J58" s="281">
        <f>IF(J$46&lt;=$C$22,IF(J46&gt;$C$22,0,$C$32*(1+Mantenimiento!J9)),0)</f>
        <v>0</v>
      </c>
      <c r="K58" s="281">
        <f>IF(K$46&lt;=$C$22,IF(K46&gt;$C$22,0,$C$32*(1+Mantenimiento!K9)),0)</f>
        <v>0</v>
      </c>
      <c r="L58" s="281">
        <f>IF(L$46&lt;=$C$22,IF(L46&gt;$C$22,0,$C$32*(1+Mantenimiento!L9)),0)</f>
        <v>0</v>
      </c>
      <c r="M58" s="281">
        <f>IF(M$46&lt;=$C$22,IF(M46&gt;$C$22,0,$C$32*(1+Mantenimiento!M9)),0)</f>
        <v>0</v>
      </c>
      <c r="N58" s="254">
        <f>IF(N$46&lt;=$C$22,IF(N46&gt;$C$22,0,$C$32*(1+Mantenimiento!N9)),0)</f>
        <v>0</v>
      </c>
      <c r="O58" s="254">
        <f>IF(O$46&lt;=$C$22,IF(O46&gt;$C$22,0,$C$32*(1+Mantenimiento!O9)),0)</f>
        <v>0</v>
      </c>
      <c r="P58" s="254">
        <f>IF(P$46&lt;=$C$22,IF(P46&gt;$C$22,0,$C$32*(1+Mantenimiento!P9)),0)</f>
        <v>0</v>
      </c>
      <c r="Q58" s="254">
        <f>IF(Q$46&lt;=$C$22,IF(Q46&gt;$C$22,0,$C$32*(1+Mantenimiento!Q9)),0)</f>
        <v>0</v>
      </c>
      <c r="R58" s="254">
        <f>IF(R$46&lt;=$C$22,IF(R46&gt;$C$22,0,$C$32*(1+Mantenimiento!R9)),0)</f>
        <v>0</v>
      </c>
      <c r="S58" s="254">
        <f>IF(S$46&lt;=$C$22,IF(S46&gt;$C$22,0,$C$32*(1+Mantenimiento!S9)),0)</f>
        <v>0</v>
      </c>
      <c r="T58" s="254">
        <f>IF(T$46&lt;=$C$22,IF(T46&gt;$C$22,0,$C$32*(1+Mantenimiento!T9)),0)</f>
        <v>0</v>
      </c>
      <c r="U58" s="254">
        <f>IF(U$46&lt;=$C$22,IF(U46&gt;$C$22,0,$C$32*(1+Mantenimiento!U9)),0)</f>
        <v>0</v>
      </c>
      <c r="V58" s="254">
        <f>IF(V$46&lt;=$C$22,IF(V46&gt;$C$22,0,$C$32*(1+Mantenimiento!V9)),0)</f>
        <v>0</v>
      </c>
      <c r="W58" s="254">
        <f>IF(W$46&lt;=$C$22,IF(W46&gt;$C$22,0,$C$32*(1+Mantenimiento!W9)),0)</f>
        <v>0</v>
      </c>
      <c r="X58" s="254">
        <f>IF(X$46&lt;=$C$22,IF(X46&gt;$C$22,0,$C$32*(1+Mantenimiento!X9)),0)</f>
        <v>0</v>
      </c>
      <c r="Y58" s="254">
        <f>IF(Y$46&lt;=$C$22,IF(Y46&gt;$C$22,0,$C$32*(1+Mantenimiento!Y9)),0)</f>
        <v>0</v>
      </c>
      <c r="Z58" s="254">
        <f>IF(Z$46&lt;=$C$22,IF(Z46&gt;$C$22,0,$C$32*(1+Mantenimiento!Z9)),0)</f>
        <v>0</v>
      </c>
      <c r="AA58" s="254">
        <f>IF(AA$46&lt;=$C$22,IF(AA46&gt;$C$22,0,$C$32*(1+Mantenimiento!AA9)),0)</f>
        <v>0</v>
      </c>
      <c r="AB58" s="254">
        <f>IF(AB$46&lt;=$C$22,IF(AB46&gt;$C$22,0,$C$32*(1+Mantenimiento!AB9)),0)</f>
        <v>0</v>
      </c>
      <c r="AC58" s="254">
        <f>IF(AC$46&lt;=$C$22,IF(AC46&gt;$C$22,0,$C$32*(1+Mantenimiento!AC9)),0)</f>
        <v>0</v>
      </c>
      <c r="AD58" s="254">
        <f>IF(AD$46&lt;=$C$22,IF(AD46&gt;$C$22,0,$C$32*(1+Mantenimiento!AD9)),0)</f>
        <v>0</v>
      </c>
      <c r="AE58" s="254">
        <f>IF(AE$46&lt;=$C$22,IF(AE46&gt;$C$22,0,$C$32*(1+Mantenimiento!AE9)),0)</f>
        <v>0</v>
      </c>
      <c r="AF58" s="254">
        <f>IF(AF$46&lt;=$C$22,IF(AF46&gt;$C$22,0,$C$32*(1+Mantenimiento!AF9)),0)</f>
        <v>0</v>
      </c>
      <c r="AG58" s="254">
        <f>IF(AG$46&lt;=$C$22,IF(AG46&gt;$C$22,0,$C$32*(1+Mantenimiento!AG9)),0)</f>
        <v>0</v>
      </c>
    </row>
    <row r="59" spans="1:33">
      <c r="B59" s="245" t="s">
        <v>302</v>
      </c>
      <c r="C59" s="281">
        <v>12000000</v>
      </c>
      <c r="D59" s="281">
        <v>12000000</v>
      </c>
      <c r="E59" s="281">
        <v>12000000</v>
      </c>
      <c r="F59" s="281">
        <v>12000000</v>
      </c>
      <c r="G59" s="281">
        <v>12000000</v>
      </c>
      <c r="H59" s="281">
        <v>12000000</v>
      </c>
      <c r="I59" s="281">
        <v>12000000</v>
      </c>
      <c r="J59" s="281">
        <v>12000000</v>
      </c>
      <c r="K59" s="281">
        <v>12000000</v>
      </c>
      <c r="L59" s="281">
        <v>12000000</v>
      </c>
      <c r="M59" s="281">
        <v>12000000</v>
      </c>
      <c r="N59" s="281">
        <v>12000000</v>
      </c>
      <c r="O59" s="281">
        <v>12000000</v>
      </c>
      <c r="P59" s="281">
        <v>12000000</v>
      </c>
      <c r="Q59" s="281">
        <v>12000000</v>
      </c>
      <c r="R59" s="281">
        <v>12000000</v>
      </c>
      <c r="S59" s="281">
        <v>12000000</v>
      </c>
      <c r="T59" s="281">
        <v>12000000</v>
      </c>
      <c r="U59" s="281">
        <v>12000000</v>
      </c>
      <c r="V59" s="281">
        <v>12000000</v>
      </c>
      <c r="W59" s="281">
        <v>12000000</v>
      </c>
      <c r="X59" s="281">
        <v>12000000</v>
      </c>
      <c r="Y59" s="281">
        <v>12000000</v>
      </c>
      <c r="Z59" s="281">
        <v>12000000</v>
      </c>
      <c r="AA59" s="281">
        <v>12000000</v>
      </c>
      <c r="AB59" s="281">
        <v>12000000</v>
      </c>
      <c r="AC59" s="254"/>
      <c r="AD59" s="254"/>
      <c r="AE59" s="254"/>
      <c r="AF59" s="254"/>
      <c r="AG59" s="254"/>
    </row>
    <row r="60" spans="1:33">
      <c r="B60" s="259" t="s">
        <v>274</v>
      </c>
      <c r="C60" s="283">
        <f>C47-C59</f>
        <v>-12000000</v>
      </c>
      <c r="D60" s="283">
        <f>D47-D59</f>
        <v>68847081.751589999</v>
      </c>
      <c r="E60" s="283">
        <f>IF(E$46&lt;=$C$22,E47-E59,0)</f>
        <v>72889435.839169502</v>
      </c>
      <c r="F60" s="283">
        <f t="shared" ref="F60:AG60" si="19">IF(F$46&lt;=$C$22,F47-F59,0)</f>
        <v>77133907.631127983</v>
      </c>
      <c r="G60" s="283">
        <f t="shared" si="19"/>
        <v>81590603.01268439</v>
      </c>
      <c r="H60" s="283">
        <f t="shared" si="19"/>
        <v>86270133.163318604</v>
      </c>
      <c r="I60" s="283">
        <f t="shared" si="19"/>
        <v>91183639.821484536</v>
      </c>
      <c r="J60" s="283">
        <f t="shared" si="19"/>
        <v>96342821.81255877</v>
      </c>
      <c r="K60" s="283">
        <f t="shared" si="19"/>
        <v>101759962.90318672</v>
      </c>
      <c r="L60" s="283">
        <f t="shared" si="19"/>
        <v>107447961.04834606</v>
      </c>
      <c r="M60" s="283">
        <f t="shared" si="19"/>
        <v>113420359.10076335</v>
      </c>
      <c r="N60" s="260">
        <f t="shared" si="19"/>
        <v>119691377.05580154</v>
      </c>
      <c r="O60" s="260">
        <f t="shared" si="19"/>
        <v>126275945.90859163</v>
      </c>
      <c r="P60" s="260">
        <f t="shared" si="19"/>
        <v>133189743.20402122</v>
      </c>
      <c r="Q60" s="260">
        <f t="shared" si="19"/>
        <v>140449230.36422226</v>
      </c>
      <c r="R60" s="260">
        <f t="shared" si="19"/>
        <v>148071691.88243338</v>
      </c>
      <c r="S60" s="260">
        <f t="shared" si="19"/>
        <v>156075276.47655508</v>
      </c>
      <c r="T60" s="260">
        <f t="shared" si="19"/>
        <v>164479040.30038285</v>
      </c>
      <c r="U60" s="260">
        <f t="shared" si="19"/>
        <v>173302992.315402</v>
      </c>
      <c r="V60" s="260">
        <f t="shared" si="19"/>
        <v>182568141.9311721</v>
      </c>
      <c r="W60" s="260">
        <f t="shared" si="19"/>
        <v>192296549.0277307</v>
      </c>
      <c r="X60" s="260">
        <f t="shared" si="19"/>
        <v>202511376.47911724</v>
      </c>
      <c r="Y60" s="260">
        <f t="shared" si="19"/>
        <v>213236945.30307314</v>
      </c>
      <c r="Z60" s="260">
        <f t="shared" si="19"/>
        <v>224498792.56822681</v>
      </c>
      <c r="AA60" s="260">
        <f t="shared" si="19"/>
        <v>236323732.19663814</v>
      </c>
      <c r="AB60" s="260">
        <f t="shared" si="19"/>
        <v>248739918.80647004</v>
      </c>
      <c r="AC60" s="260">
        <f t="shared" si="19"/>
        <v>0</v>
      </c>
      <c r="AD60" s="260">
        <f t="shared" si="19"/>
        <v>0</v>
      </c>
      <c r="AE60" s="260">
        <f t="shared" si="19"/>
        <v>0</v>
      </c>
      <c r="AF60" s="260">
        <f t="shared" si="19"/>
        <v>0</v>
      </c>
      <c r="AG60" s="260">
        <f t="shared" si="19"/>
        <v>0</v>
      </c>
    </row>
    <row r="61" spans="1:33">
      <c r="B61" s="245" t="s">
        <v>282</v>
      </c>
      <c r="C61" s="281">
        <v>0</v>
      </c>
      <c r="D61" s="281">
        <f>IF(D46&gt;$C$23,0,$C$38/$C$23)</f>
        <v>-76281600</v>
      </c>
      <c r="E61" s="281">
        <f>IF(E$46&lt;=$C$22,IF(E46&gt;$C$23,0,$C$38/$C$23),0)</f>
        <v>-76281600</v>
      </c>
      <c r="F61" s="281">
        <f t="shared" ref="F61:AG61" si="20">IF(F$46&lt;=$C$22,IF(F46&gt;$C$23,0,$C$38/$C$23),0)</f>
        <v>-76281600</v>
      </c>
      <c r="G61" s="281">
        <f t="shared" si="20"/>
        <v>-76281600</v>
      </c>
      <c r="H61" s="281">
        <f t="shared" si="20"/>
        <v>-76281600</v>
      </c>
      <c r="I61" s="281">
        <f t="shared" si="20"/>
        <v>-76281600</v>
      </c>
      <c r="J61" s="281">
        <f t="shared" si="20"/>
        <v>-76281600</v>
      </c>
      <c r="K61" s="281">
        <f t="shared" si="20"/>
        <v>-76281600</v>
      </c>
      <c r="L61" s="281">
        <f t="shared" si="20"/>
        <v>-76281600</v>
      </c>
      <c r="M61" s="281">
        <f t="shared" si="20"/>
        <v>-76281600</v>
      </c>
      <c r="N61" s="254">
        <f t="shared" si="20"/>
        <v>-76281600</v>
      </c>
      <c r="O61" s="254">
        <f t="shared" si="20"/>
        <v>-76281600</v>
      </c>
      <c r="P61" s="254">
        <f t="shared" si="20"/>
        <v>-76281600</v>
      </c>
      <c r="Q61" s="254">
        <f t="shared" si="20"/>
        <v>-76281600</v>
      </c>
      <c r="R61" s="254">
        <f t="shared" si="20"/>
        <v>-76281600</v>
      </c>
      <c r="S61" s="254">
        <f t="shared" si="20"/>
        <v>-76281600</v>
      </c>
      <c r="T61" s="254">
        <f t="shared" si="20"/>
        <v>-76281600</v>
      </c>
      <c r="U61" s="254">
        <f t="shared" si="20"/>
        <v>-76281600</v>
      </c>
      <c r="V61" s="254">
        <f t="shared" si="20"/>
        <v>-76281600</v>
      </c>
      <c r="W61" s="254">
        <f t="shared" si="20"/>
        <v>-76281600</v>
      </c>
      <c r="X61" s="254">
        <f t="shared" si="20"/>
        <v>-76281600</v>
      </c>
      <c r="Y61" s="254">
        <f t="shared" si="20"/>
        <v>-76281600</v>
      </c>
      <c r="Z61" s="254">
        <f t="shared" si="20"/>
        <v>-76281600</v>
      </c>
      <c r="AA61" s="254">
        <f t="shared" si="20"/>
        <v>-76281600</v>
      </c>
      <c r="AB61" s="254">
        <f t="shared" si="20"/>
        <v>-76281600</v>
      </c>
      <c r="AC61" s="254">
        <f t="shared" si="20"/>
        <v>0</v>
      </c>
      <c r="AD61" s="254">
        <f t="shared" si="20"/>
        <v>0</v>
      </c>
      <c r="AE61" s="254">
        <f t="shared" si="20"/>
        <v>0</v>
      </c>
      <c r="AF61" s="254">
        <f t="shared" si="20"/>
        <v>0</v>
      </c>
      <c r="AG61" s="254">
        <f t="shared" si="20"/>
        <v>0</v>
      </c>
    </row>
    <row r="62" spans="1:33">
      <c r="B62" s="259" t="s">
        <v>283</v>
      </c>
      <c r="C62" s="283">
        <f>C60+C61</f>
        <v>-12000000</v>
      </c>
      <c r="D62" s="283">
        <f>D60+D61</f>
        <v>-7434518.2484100014</v>
      </c>
      <c r="E62" s="283">
        <f>IF(E$46&lt;=$C$22,E60+E61,0)</f>
        <v>-3392164.1608304977</v>
      </c>
      <c r="F62" s="283">
        <f t="shared" ref="F62:AG62" si="21">IF(F$46&lt;=$C$22,F60+F61,0)</f>
        <v>852307.63112798333</v>
      </c>
      <c r="G62" s="283">
        <f t="shared" si="21"/>
        <v>5309003.0126843899</v>
      </c>
      <c r="H62" s="283">
        <f t="shared" si="21"/>
        <v>9988533.1633186042</v>
      </c>
      <c r="I62" s="283">
        <f t="shared" si="21"/>
        <v>14902039.821484536</v>
      </c>
      <c r="J62" s="283">
        <f t="shared" si="21"/>
        <v>20061221.81255877</v>
      </c>
      <c r="K62" s="283">
        <f t="shared" si="21"/>
        <v>25478362.903186724</v>
      </c>
      <c r="L62" s="283">
        <f t="shared" si="21"/>
        <v>31166361.048346058</v>
      </c>
      <c r="M62" s="283">
        <f t="shared" si="21"/>
        <v>37138759.100763351</v>
      </c>
      <c r="N62" s="260">
        <f t="shared" si="21"/>
        <v>43409777.055801541</v>
      </c>
      <c r="O62" s="260">
        <f t="shared" si="21"/>
        <v>49994345.908591628</v>
      </c>
      <c r="P62" s="260">
        <f t="shared" si="21"/>
        <v>56908143.204021215</v>
      </c>
      <c r="Q62" s="260">
        <f t="shared" si="21"/>
        <v>64167630.364222258</v>
      </c>
      <c r="R62" s="260">
        <f t="shared" si="21"/>
        <v>71790091.882433385</v>
      </c>
      <c r="S62" s="260">
        <f t="shared" si="21"/>
        <v>79793676.476555079</v>
      </c>
      <c r="T62" s="260">
        <f t="shared" si="21"/>
        <v>88197440.300382853</v>
      </c>
      <c r="U62" s="260">
        <f t="shared" si="21"/>
        <v>97021392.315402001</v>
      </c>
      <c r="V62" s="260">
        <f t="shared" si="21"/>
        <v>106286541.9311721</v>
      </c>
      <c r="W62" s="260">
        <f t="shared" si="21"/>
        <v>116014949.0277307</v>
      </c>
      <c r="X62" s="260">
        <f t="shared" si="21"/>
        <v>126229776.47911724</v>
      </c>
      <c r="Y62" s="260">
        <f t="shared" si="21"/>
        <v>136955345.30307314</v>
      </c>
      <c r="Z62" s="260">
        <f t="shared" si="21"/>
        <v>148217192.56822681</v>
      </c>
      <c r="AA62" s="260">
        <f t="shared" si="21"/>
        <v>160042132.19663814</v>
      </c>
      <c r="AB62" s="260">
        <f t="shared" si="21"/>
        <v>172458318.80647004</v>
      </c>
      <c r="AC62" s="260">
        <f t="shared" si="21"/>
        <v>0</v>
      </c>
      <c r="AD62" s="260">
        <f t="shared" si="21"/>
        <v>0</v>
      </c>
      <c r="AE62" s="260">
        <f t="shared" si="21"/>
        <v>0</v>
      </c>
      <c r="AF62" s="260">
        <f t="shared" si="21"/>
        <v>0</v>
      </c>
      <c r="AG62" s="260">
        <f t="shared" si="21"/>
        <v>0</v>
      </c>
    </row>
    <row r="63" spans="1:33">
      <c r="B63" s="245" t="s">
        <v>275</v>
      </c>
      <c r="C63" s="281">
        <f>-IF(C69&gt;0,C62*$C$33/100,0)</f>
        <v>0</v>
      </c>
      <c r="D63" s="281">
        <f>-D62*$C$33/100</f>
        <v>26020.813869435005</v>
      </c>
      <c r="E63" s="281">
        <f>IF(E$46&lt;=$C$22,-E62*$C$33/100,0)</f>
        <v>11872.574562906742</v>
      </c>
      <c r="F63" s="281">
        <f t="shared" ref="F63:AG63" si="22">IF(F$46&lt;=$C$22,-F62*$C$33/100,0)</f>
        <v>-2983.0767089479418</v>
      </c>
      <c r="G63" s="281">
        <f t="shared" si="22"/>
        <v>-18581.510544395362</v>
      </c>
      <c r="H63" s="281">
        <f t="shared" si="22"/>
        <v>-34959.866071615113</v>
      </c>
      <c r="I63" s="281">
        <f t="shared" si="22"/>
        <v>-52157.139375195875</v>
      </c>
      <c r="J63" s="281">
        <f t="shared" si="22"/>
        <v>-70214.276343955702</v>
      </c>
      <c r="K63" s="281">
        <f t="shared" si="22"/>
        <v>-89174.27016115353</v>
      </c>
      <c r="L63" s="281">
        <f t="shared" si="22"/>
        <v>-109082.2636692112</v>
      </c>
      <c r="M63" s="281">
        <f t="shared" si="22"/>
        <v>-129985.65685267173</v>
      </c>
      <c r="N63" s="254">
        <f t="shared" si="22"/>
        <v>-151934.21969530536</v>
      </c>
      <c r="O63" s="254">
        <f t="shared" si="22"/>
        <v>-174980.21068007071</v>
      </c>
      <c r="P63" s="254">
        <f t="shared" si="22"/>
        <v>-199178.50121407423</v>
      </c>
      <c r="Q63" s="254">
        <f t="shared" si="22"/>
        <v>-224586.70627477788</v>
      </c>
      <c r="R63" s="254">
        <f t="shared" si="22"/>
        <v>-251265.32158851682</v>
      </c>
      <c r="S63" s="254">
        <f t="shared" si="22"/>
        <v>-279277.86766794277</v>
      </c>
      <c r="T63" s="254">
        <f t="shared" si="22"/>
        <v>-308691.04105133994</v>
      </c>
      <c r="U63" s="254">
        <f t="shared" si="22"/>
        <v>-339574.87310390698</v>
      </c>
      <c r="V63" s="254">
        <f t="shared" si="22"/>
        <v>-372002.89675910235</v>
      </c>
      <c r="W63" s="254">
        <f t="shared" si="22"/>
        <v>-406052.32159705745</v>
      </c>
      <c r="X63" s="254">
        <f t="shared" si="22"/>
        <v>-441804.21767691034</v>
      </c>
      <c r="Y63" s="254">
        <f t="shared" si="22"/>
        <v>-479343.70856075594</v>
      </c>
      <c r="Z63" s="254">
        <f t="shared" si="22"/>
        <v>-518760.1739887938</v>
      </c>
      <c r="AA63" s="254">
        <f t="shared" si="22"/>
        <v>-560147.46268823347</v>
      </c>
      <c r="AB63" s="254">
        <f t="shared" si="22"/>
        <v>-603604.11582264502</v>
      </c>
      <c r="AC63" s="254">
        <f t="shared" si="22"/>
        <v>0</v>
      </c>
      <c r="AD63" s="254">
        <f t="shared" si="22"/>
        <v>0</v>
      </c>
      <c r="AE63" s="254">
        <f t="shared" si="22"/>
        <v>0</v>
      </c>
      <c r="AF63" s="254">
        <f t="shared" si="22"/>
        <v>0</v>
      </c>
      <c r="AG63" s="254">
        <f t="shared" si="22"/>
        <v>0</v>
      </c>
    </row>
    <row r="64" spans="1:33" ht="18" customHeight="1">
      <c r="B64" s="247" t="s">
        <v>284</v>
      </c>
      <c r="C64" s="284">
        <f>C62+C63</f>
        <v>-12000000</v>
      </c>
      <c r="D64" s="284">
        <f>D62+D63</f>
        <v>-7408497.4345405661</v>
      </c>
      <c r="E64" s="284">
        <f>IF(E$46&lt;=$C$22,E62+E63,0)</f>
        <v>-3380291.586267591</v>
      </c>
      <c r="F64" s="284">
        <f t="shared" ref="F64:AG64" si="23">IF(F$46&lt;=$C$22,F62+F63,0)</f>
        <v>849324.55441903544</v>
      </c>
      <c r="G64" s="284">
        <f t="shared" si="23"/>
        <v>5290421.5021399949</v>
      </c>
      <c r="H64" s="284">
        <f t="shared" si="23"/>
        <v>9953573.2972469889</v>
      </c>
      <c r="I64" s="284">
        <f t="shared" si="23"/>
        <v>14849882.682109339</v>
      </c>
      <c r="J64" s="284">
        <f t="shared" si="23"/>
        <v>19991007.536214814</v>
      </c>
      <c r="K64" s="284">
        <f t="shared" si="23"/>
        <v>25389188.633025572</v>
      </c>
      <c r="L64" s="284">
        <f t="shared" si="23"/>
        <v>31057278.784676846</v>
      </c>
      <c r="M64" s="284">
        <f t="shared" si="23"/>
        <v>37008773.443910681</v>
      </c>
      <c r="N64" s="261">
        <f t="shared" si="23"/>
        <v>43257842.836106233</v>
      </c>
      <c r="O64" s="261">
        <f t="shared" si="23"/>
        <v>49819365.697911561</v>
      </c>
      <c r="P64" s="261">
        <f t="shared" si="23"/>
        <v>56708964.702807143</v>
      </c>
      <c r="Q64" s="261">
        <f t="shared" si="23"/>
        <v>63943043.657947481</v>
      </c>
      <c r="R64" s="261">
        <f t="shared" si="23"/>
        <v>71538826.560844868</v>
      </c>
      <c r="S64" s="261">
        <f t="shared" si="23"/>
        <v>79514398.608887136</v>
      </c>
      <c r="T64" s="261">
        <f t="shared" si="23"/>
        <v>87888749.259331509</v>
      </c>
      <c r="U64" s="261">
        <f t="shared" si="23"/>
        <v>96681817.442298099</v>
      </c>
      <c r="V64" s="261">
        <f t="shared" si="23"/>
        <v>105914539.03441299</v>
      </c>
      <c r="W64" s="261">
        <f t="shared" si="23"/>
        <v>115608896.70613365</v>
      </c>
      <c r="X64" s="261">
        <f t="shared" si="23"/>
        <v>125787972.26144034</v>
      </c>
      <c r="Y64" s="261">
        <f t="shared" si="23"/>
        <v>136476001.59451237</v>
      </c>
      <c r="Z64" s="261">
        <f t="shared" si="23"/>
        <v>147698432.39423802</v>
      </c>
      <c r="AA64" s="261">
        <f t="shared" si="23"/>
        <v>159481984.7339499</v>
      </c>
      <c r="AB64" s="261">
        <f t="shared" si="23"/>
        <v>171854714.69064739</v>
      </c>
      <c r="AC64" s="261">
        <f t="shared" si="23"/>
        <v>0</v>
      </c>
      <c r="AD64" s="261">
        <f t="shared" si="23"/>
        <v>0</v>
      </c>
      <c r="AE64" s="261">
        <f t="shared" si="23"/>
        <v>0</v>
      </c>
      <c r="AF64" s="261">
        <f t="shared" si="23"/>
        <v>0</v>
      </c>
      <c r="AG64" s="261">
        <f t="shared" si="23"/>
        <v>0</v>
      </c>
    </row>
    <row r="65" spans="1:33">
      <c r="B65" s="245" t="s">
        <v>282</v>
      </c>
      <c r="C65" s="281">
        <v>0</v>
      </c>
      <c r="D65" s="281">
        <f>ABS(IF(D46&gt;$C$23,0,$C$38/$C$23))</f>
        <v>76281600</v>
      </c>
      <c r="E65" s="281">
        <f>IF(E$46&lt;=$C$22,ABS(IF(E46&gt;$C$23,0,$C$38/$C$23)),0)</f>
        <v>76281600</v>
      </c>
      <c r="F65" s="281">
        <f t="shared" ref="F65:AG65" si="24">IF(F$46&lt;=$C$22,ABS(IF(F46&gt;$C$23,0,$C$38/$C$23)),0)</f>
        <v>76281600</v>
      </c>
      <c r="G65" s="281">
        <f t="shared" si="24"/>
        <v>76281600</v>
      </c>
      <c r="H65" s="281">
        <f t="shared" si="24"/>
        <v>76281600</v>
      </c>
      <c r="I65" s="281">
        <f t="shared" si="24"/>
        <v>76281600</v>
      </c>
      <c r="J65" s="281">
        <f t="shared" si="24"/>
        <v>76281600</v>
      </c>
      <c r="K65" s="281">
        <f t="shared" si="24"/>
        <v>76281600</v>
      </c>
      <c r="L65" s="281">
        <f t="shared" si="24"/>
        <v>76281600</v>
      </c>
      <c r="M65" s="281">
        <f t="shared" si="24"/>
        <v>76281600</v>
      </c>
      <c r="N65" s="254">
        <f t="shared" si="24"/>
        <v>76281600</v>
      </c>
      <c r="O65" s="254">
        <f t="shared" si="24"/>
        <v>76281600</v>
      </c>
      <c r="P65" s="254">
        <f t="shared" si="24"/>
        <v>76281600</v>
      </c>
      <c r="Q65" s="254">
        <f t="shared" si="24"/>
        <v>76281600</v>
      </c>
      <c r="R65" s="254">
        <f t="shared" si="24"/>
        <v>76281600</v>
      </c>
      <c r="S65" s="254">
        <f t="shared" si="24"/>
        <v>76281600</v>
      </c>
      <c r="T65" s="254">
        <f t="shared" si="24"/>
        <v>76281600</v>
      </c>
      <c r="U65" s="254">
        <f t="shared" si="24"/>
        <v>76281600</v>
      </c>
      <c r="V65" s="254">
        <f t="shared" si="24"/>
        <v>76281600</v>
      </c>
      <c r="W65" s="254">
        <f t="shared" si="24"/>
        <v>76281600</v>
      </c>
      <c r="X65" s="254">
        <f t="shared" si="24"/>
        <v>76281600</v>
      </c>
      <c r="Y65" s="254">
        <f t="shared" si="24"/>
        <v>76281600</v>
      </c>
      <c r="Z65" s="254">
        <f t="shared" si="24"/>
        <v>76281600</v>
      </c>
      <c r="AA65" s="254">
        <f t="shared" si="24"/>
        <v>76281600</v>
      </c>
      <c r="AB65" s="254">
        <f t="shared" si="24"/>
        <v>76281600</v>
      </c>
      <c r="AC65" s="254">
        <f t="shared" si="24"/>
        <v>0</v>
      </c>
      <c r="AD65" s="254">
        <f t="shared" si="24"/>
        <v>0</v>
      </c>
      <c r="AE65" s="254">
        <f t="shared" si="24"/>
        <v>0</v>
      </c>
      <c r="AF65" s="254">
        <f t="shared" si="24"/>
        <v>0</v>
      </c>
      <c r="AG65" s="254">
        <f t="shared" si="24"/>
        <v>0</v>
      </c>
    </row>
    <row r="66" spans="1:33" ht="15">
      <c r="B66" s="247" t="s">
        <v>285</v>
      </c>
      <c r="C66" s="284">
        <f>+C64+C65</f>
        <v>-12000000</v>
      </c>
      <c r="D66" s="284">
        <f>+D64+D65</f>
        <v>68873102.56545943</v>
      </c>
      <c r="E66" s="284">
        <f>IF(E$46&lt;=$C$22,E64+E65,0)</f>
        <v>72901308.413732409</v>
      </c>
      <c r="F66" s="284">
        <f t="shared" ref="F66:AG66" si="25">IF(F$46&lt;=$C$22,F64+F65,0)</f>
        <v>77130924.554419041</v>
      </c>
      <c r="G66" s="284">
        <f t="shared" si="25"/>
        <v>81572021.50214</v>
      </c>
      <c r="H66" s="284">
        <f t="shared" si="25"/>
        <v>86235173.297246993</v>
      </c>
      <c r="I66" s="284">
        <f t="shared" si="25"/>
        <v>91131482.682109341</v>
      </c>
      <c r="J66" s="284">
        <f t="shared" si="25"/>
        <v>96272607.536214814</v>
      </c>
      <c r="K66" s="284">
        <f t="shared" si="25"/>
        <v>101670788.63302557</v>
      </c>
      <c r="L66" s="284">
        <f t="shared" si="25"/>
        <v>107338878.78467685</v>
      </c>
      <c r="M66" s="284">
        <f t="shared" si="25"/>
        <v>113290373.44391069</v>
      </c>
      <c r="N66" s="261">
        <f t="shared" si="25"/>
        <v>119539442.83610624</v>
      </c>
      <c r="O66" s="261">
        <f t="shared" si="25"/>
        <v>126100965.69791156</v>
      </c>
      <c r="P66" s="261">
        <f t="shared" si="25"/>
        <v>132990564.70280714</v>
      </c>
      <c r="Q66" s="261">
        <f t="shared" si="25"/>
        <v>140224643.65794748</v>
      </c>
      <c r="R66" s="261">
        <f t="shared" si="25"/>
        <v>147820426.56084487</v>
      </c>
      <c r="S66" s="261">
        <f t="shared" si="25"/>
        <v>155795998.60888714</v>
      </c>
      <c r="T66" s="261">
        <f t="shared" si="25"/>
        <v>164170349.25933152</v>
      </c>
      <c r="U66" s="261">
        <f t="shared" si="25"/>
        <v>172963417.44229811</v>
      </c>
      <c r="V66" s="261">
        <f t="shared" si="25"/>
        <v>182196139.03441298</v>
      </c>
      <c r="W66" s="261">
        <f t="shared" si="25"/>
        <v>191890496.70613366</v>
      </c>
      <c r="X66" s="261">
        <f t="shared" si="25"/>
        <v>202069572.26144034</v>
      </c>
      <c r="Y66" s="261">
        <f t="shared" si="25"/>
        <v>212757601.59451237</v>
      </c>
      <c r="Z66" s="261">
        <f t="shared" si="25"/>
        <v>223980032.39423802</v>
      </c>
      <c r="AA66" s="261">
        <f t="shared" si="25"/>
        <v>235763584.7339499</v>
      </c>
      <c r="AB66" s="261">
        <f t="shared" si="25"/>
        <v>248136314.69064739</v>
      </c>
      <c r="AC66" s="261">
        <f t="shared" si="25"/>
        <v>0</v>
      </c>
      <c r="AD66" s="261">
        <f t="shared" si="25"/>
        <v>0</v>
      </c>
      <c r="AE66" s="261">
        <f t="shared" si="25"/>
        <v>0</v>
      </c>
      <c r="AF66" s="261">
        <f t="shared" si="25"/>
        <v>0</v>
      </c>
      <c r="AG66" s="261">
        <f t="shared" si="25"/>
        <v>0</v>
      </c>
    </row>
    <row r="68" spans="1:33" ht="15">
      <c r="B68" s="262" t="s">
        <v>286</v>
      </c>
      <c r="C68" s="288"/>
      <c r="D68" s="288"/>
      <c r="E68" s="288"/>
      <c r="F68" s="288"/>
    </row>
    <row r="69" spans="1:33" ht="15.75" thickBot="1">
      <c r="B69" s="251" t="s">
        <v>287</v>
      </c>
      <c r="C69" s="252">
        <v>0</v>
      </c>
      <c r="D69" s="252">
        <v>1</v>
      </c>
      <c r="E69" s="252">
        <v>2</v>
      </c>
      <c r="F69" s="252">
        <v>3</v>
      </c>
      <c r="G69" s="252">
        <v>4</v>
      </c>
      <c r="H69" s="252">
        <v>5</v>
      </c>
      <c r="I69" s="252">
        <v>6</v>
      </c>
      <c r="J69" s="252">
        <v>7</v>
      </c>
      <c r="K69" s="252">
        <v>8</v>
      </c>
      <c r="L69" s="252">
        <v>9</v>
      </c>
      <c r="M69" s="252">
        <v>10</v>
      </c>
      <c r="N69" s="252">
        <v>11</v>
      </c>
      <c r="O69" s="252">
        <v>12</v>
      </c>
      <c r="P69" s="252">
        <v>13</v>
      </c>
      <c r="Q69" s="252">
        <v>14</v>
      </c>
      <c r="R69" s="252">
        <v>15</v>
      </c>
      <c r="S69" s="252">
        <v>16</v>
      </c>
      <c r="T69" s="252">
        <v>17</v>
      </c>
      <c r="U69" s="252">
        <v>18</v>
      </c>
      <c r="V69" s="252">
        <v>19</v>
      </c>
      <c r="W69" s="252">
        <v>20</v>
      </c>
      <c r="X69" s="252">
        <v>21</v>
      </c>
      <c r="Y69" s="252">
        <v>22</v>
      </c>
      <c r="Z69" s="252">
        <v>23</v>
      </c>
      <c r="AA69" s="252">
        <v>24</v>
      </c>
      <c r="AB69" s="252">
        <v>25</v>
      </c>
      <c r="AC69" s="252">
        <v>26</v>
      </c>
      <c r="AD69" s="252">
        <v>27</v>
      </c>
      <c r="AE69" s="252">
        <v>28</v>
      </c>
      <c r="AF69" s="252">
        <v>29</v>
      </c>
      <c r="AG69" s="252">
        <v>30</v>
      </c>
    </row>
    <row r="70" spans="1:33" ht="13.5" thickBot="1">
      <c r="A70" s="326" t="str">
        <f>+D27</f>
        <v>kWh</v>
      </c>
      <c r="B70" s="245" t="str">
        <f>"Electricidad"&amp;" (COP/"&amp;A70&amp;")"</f>
        <v>Electricidad (COP/kWh)</v>
      </c>
      <c r="C70" s="264">
        <f>Electricidad!M16*(1+Precios_tarifas!$D$2)</f>
        <v>660.12706374999993</v>
      </c>
      <c r="D70" s="264">
        <f>+C70*(1+Precios_tarifas!$D$2)</f>
        <v>693.13341693749999</v>
      </c>
      <c r="E70" s="264">
        <f>+D70*(1+Precios_tarifas!$D$2)</f>
        <v>727.79008778437503</v>
      </c>
      <c r="F70" s="264">
        <f>IF(F$69&lt;=$C$22,+E70*(1+Precios_tarifas!$D$2),0)</f>
        <v>764.17959217359385</v>
      </c>
      <c r="G70" s="264">
        <f>IF(G$69&lt;=$C$22,+F70*(1+Precios_tarifas!$D$2),0)</f>
        <v>802.38857178227352</v>
      </c>
      <c r="H70" s="264">
        <f>IF(H$69&lt;=$C$22,+G70*(1+Precios_tarifas!$D$2),0)</f>
        <v>842.5080003713872</v>
      </c>
      <c r="I70" s="264">
        <f>IF(I$69&lt;=$C$22,+H70*(1+Precios_tarifas!$D$2),0)</f>
        <v>884.63340038995659</v>
      </c>
      <c r="J70" s="264">
        <f>IF(J$69&lt;=$C$22,+I70*(1+Precios_tarifas!$D$2),0)</f>
        <v>928.86507040945446</v>
      </c>
      <c r="K70" s="264">
        <f>IF(K$69&lt;=$C$22,+J70*(1+Precios_tarifas!$D$2),0)</f>
        <v>975.30832392992727</v>
      </c>
      <c r="L70" s="264">
        <f>IF(L$69&lt;=$C$22,+K70*(1+Precios_tarifas!$D$2),0)</f>
        <v>1024.0737401264237</v>
      </c>
      <c r="M70" s="264">
        <f>IF(M$69&lt;=$C$22,+L70*(1+Precios_tarifas!$D$2),0)</f>
        <v>1075.2774271327448</v>
      </c>
      <c r="N70" s="264">
        <f>IF(N$69&lt;=$C$22,+M70*(1+Precios_tarifas!$D$2),0)</f>
        <v>1129.0412984893821</v>
      </c>
      <c r="O70" s="264">
        <f>IF(O$69&lt;=$C$22,+N70*(1+Precios_tarifas!$D$2),0)</f>
        <v>1185.4933634138513</v>
      </c>
      <c r="P70" s="264">
        <f>IF(P$69&lt;=$C$22,+O70*(1+Precios_tarifas!$D$2),0)</f>
        <v>1244.7680315845439</v>
      </c>
      <c r="Q70" s="264">
        <f>IF(Q$69&lt;=$C$22,+P70*(1+Precios_tarifas!$D$2),0)</f>
        <v>1307.0064331637711</v>
      </c>
      <c r="R70" s="264">
        <f>IF(R$69&lt;=$C$22,+Q70*(1+Precios_tarifas!$D$2),0)</f>
        <v>1372.3567548219598</v>
      </c>
      <c r="S70" s="264">
        <f>IF(S$69&lt;=$C$22,+R70*(1+Precios_tarifas!$D$2),0)</f>
        <v>1440.974592563058</v>
      </c>
      <c r="T70" s="264">
        <f>IF(T$69&lt;=$C$22,+S70*(1+Precios_tarifas!$D$2),0)</f>
        <v>1513.023322191211</v>
      </c>
      <c r="U70" s="264">
        <f>IF(U$69&lt;=$C$22,+T70*(1+Precios_tarifas!$D$2),0)</f>
        <v>1588.6744883007716</v>
      </c>
      <c r="V70" s="264">
        <f>IF(V$69&lt;=$C$22,+U70*(1+Precios_tarifas!$D$2),0)</f>
        <v>1668.1082127158102</v>
      </c>
      <c r="W70" s="264">
        <f>IF(W$69&lt;=$C$22,+V70*(1+Precios_tarifas!$D$2),0)</f>
        <v>1751.5136233516007</v>
      </c>
      <c r="X70" s="264">
        <f>IF(X$69&lt;=$C$22,+W70*(1+Precios_tarifas!$D$2),0)</f>
        <v>1839.0893045191808</v>
      </c>
      <c r="Y70" s="264">
        <f>IF(Y$69&lt;=$C$22,+X70*(1+Precios_tarifas!$D$2),0)</f>
        <v>1931.04376974514</v>
      </c>
      <c r="Z70" s="264">
        <f>IF(Z$69&lt;=$C$22,+Y70*(1+Precios_tarifas!$D$2),0)</f>
        <v>2027.5959582323972</v>
      </c>
      <c r="AA70" s="264">
        <f>IF(AA$69&lt;=$C$22,+Z70*(1+Precios_tarifas!$D$2),0)</f>
        <v>2128.9757561440169</v>
      </c>
      <c r="AB70" s="264">
        <f>IF(AB$69&lt;=$C$22,+AA70*(1+Precios_tarifas!$D$2),0)</f>
        <v>2235.4245439512179</v>
      </c>
      <c r="AC70" s="264">
        <f>IF(AC$69&lt;=$C$22,+AB70*(1+Precios_tarifas!$D$2),0)</f>
        <v>0</v>
      </c>
      <c r="AD70" s="264">
        <f>IF(AD$69&lt;=$C$22,+AC70*(1+Precios_tarifas!$D$2),0)</f>
        <v>0</v>
      </c>
      <c r="AE70" s="264">
        <f>IF(AE$69&lt;=$C$22,+AD70*(1+Precios_tarifas!$D$2),0)</f>
        <v>0</v>
      </c>
      <c r="AF70" s="264">
        <f>IF(AF$69&lt;=$C$22,+AE70*(1+Precios_tarifas!$D$2),0)</f>
        <v>0</v>
      </c>
      <c r="AG70" s="264">
        <f>IF(AG$69&lt;=$C$22,+AF70*(1+Precios_tarifas!$D$2),0)</f>
        <v>0</v>
      </c>
    </row>
    <row r="71" spans="1:33" ht="13.5" thickBot="1">
      <c r="A71" s="326" t="str">
        <f>+D28</f>
        <v>m3</v>
      </c>
      <c r="B71" s="245" t="str">
        <f>"Gas"&amp;" (COP/"&amp;A71&amp;")"</f>
        <v>Gas (COP/m3)</v>
      </c>
      <c r="C71" s="264">
        <f>Precios_tarifas!C10</f>
        <v>2740.2986052220881</v>
      </c>
      <c r="D71" s="264">
        <f>+C71*(1+Precios_tarifas!$D$2)</f>
        <v>2877.3135354831925</v>
      </c>
      <c r="E71" s="264">
        <f>+D71*(1+Precios_tarifas!$D$2)</f>
        <v>3021.1792122573524</v>
      </c>
      <c r="F71" s="264">
        <f>IF(F$69&lt;=$C$22,+E71*(1+Precios_tarifas!$D$3),0)</f>
        <v>3172.2381728702203</v>
      </c>
      <c r="G71" s="264">
        <f>IF(G$69&lt;=$C$22,+F71*(1+Precios_tarifas!$D$3),0)</f>
        <v>3330.8500815137313</v>
      </c>
      <c r="H71" s="264">
        <f>IF(H$69&lt;=$C$22,+G71*(1+Precios_tarifas!$D$3),0)</f>
        <v>3497.3925855894181</v>
      </c>
      <c r="I71" s="264">
        <f>IF(I$69&lt;=$C$22,+H71*(1+Precios_tarifas!$D$3),0)</f>
        <v>3672.2622148688893</v>
      </c>
      <c r="J71" s="264">
        <f>IF(J$69&lt;=$C$22,+I71*(1+Precios_tarifas!$D$3),0)</f>
        <v>3855.8753256123341</v>
      </c>
      <c r="K71" s="264">
        <f>IF(K$69&lt;=$C$22,+J71*(1+Precios_tarifas!$D$3),0)</f>
        <v>4048.6690918929512</v>
      </c>
      <c r="L71" s="264">
        <f>IF(L$69&lt;=$C$22,+K71*(1+Precios_tarifas!$D$3),0)</f>
        <v>4251.1025464875993</v>
      </c>
      <c r="M71" s="264">
        <f>IF(M$69&lt;=$C$22,+L71*(1+Precios_tarifas!$D$3),0)</f>
        <v>4463.6576738119793</v>
      </c>
      <c r="N71" s="264">
        <f>IF(N$69&lt;=$C$22,+M71*(1+Precios_tarifas!$D$3),0)</f>
        <v>4686.8405575025781</v>
      </c>
      <c r="O71" s="264">
        <f>IF(O$69&lt;=$C$22,+N71*(1+Precios_tarifas!$D$3),0)</f>
        <v>4921.1825853777073</v>
      </c>
      <c r="P71" s="264">
        <f>IF(P$69&lt;=$C$22,+O71*(1+Precios_tarifas!$D$3),0)</f>
        <v>5167.2417146465932</v>
      </c>
      <c r="Q71" s="264">
        <f>IF(Q$69&lt;=$C$22,+P71*(1+Precios_tarifas!$D$3),0)</f>
        <v>5425.6038003789236</v>
      </c>
      <c r="R71" s="264">
        <f>IF(R$69&lt;=$C$22,+Q71*(1+Precios_tarifas!$D$3),0)</f>
        <v>5696.8839903978696</v>
      </c>
      <c r="S71" s="264">
        <f>IF(S$69&lt;=$C$22,+R71*(1+Precios_tarifas!$D$3),0)</f>
        <v>5981.7281899177633</v>
      </c>
      <c r="T71" s="264">
        <f>IF(T$69&lt;=$C$22,+S71*(1+Precios_tarifas!$D$3),0)</f>
        <v>6280.8145994136521</v>
      </c>
      <c r="U71" s="264">
        <f>IF(U$69&lt;=$C$22,+T71*(1+Precios_tarifas!$D$3),0)</f>
        <v>6594.8553293843352</v>
      </c>
      <c r="V71" s="264">
        <f>IF(V$69&lt;=$C$22,+U71*(1+Precios_tarifas!$D$3),0)</f>
        <v>6924.598095853552</v>
      </c>
      <c r="W71" s="264">
        <f>IF(W$69&lt;=$C$22,+V71*(1+Precios_tarifas!$D$3),0)</f>
        <v>7270.8280006462301</v>
      </c>
      <c r="X71" s="264">
        <f>IF(X$69&lt;=$C$22,+W71*(1+Precios_tarifas!$D$3),0)</f>
        <v>7634.3694006785418</v>
      </c>
      <c r="Y71" s="264">
        <f>IF(Y$69&lt;=$C$22,+X71*(1+Precios_tarifas!$D$3),0)</f>
        <v>8016.0878707124693</v>
      </c>
      <c r="Z71" s="264">
        <f>IF(Z$69&lt;=$C$22,+Y71*(1+Precios_tarifas!$D$3),0)</f>
        <v>8416.8922642480939</v>
      </c>
      <c r="AA71" s="264">
        <f>IF(AA$69&lt;=$C$22,+Z71*(1+Precios_tarifas!$D$3),0)</f>
        <v>8837.7368774604984</v>
      </c>
      <c r="AB71" s="264">
        <f>IF(AB$69&lt;=$C$22,+AA71*(1+Precios_tarifas!$D$3),0)</f>
        <v>9279.6237213335244</v>
      </c>
      <c r="AC71" s="264">
        <f>IF(AC$69&lt;=$C$22,+AB71*(1+Precios_tarifas!$D$3),0)</f>
        <v>0</v>
      </c>
      <c r="AD71" s="264">
        <f>IF(AD$69&lt;=$C$22,+AC71*(1+Precios_tarifas!$D$3),0)</f>
        <v>0</v>
      </c>
      <c r="AE71" s="264">
        <f>IF(AE$69&lt;=$C$22,+AD71*(1+Precios_tarifas!$D$3),0)</f>
        <v>0</v>
      </c>
      <c r="AF71" s="264">
        <f>IF(AF$69&lt;=$C$22,+AE71*(1+Precios_tarifas!$D$3),0)</f>
        <v>0</v>
      </c>
      <c r="AG71" s="264">
        <f>IF(AG$69&lt;=$C$22,+AF71*(1+Precios_tarifas!$D$3),0)</f>
        <v>0</v>
      </c>
    </row>
    <row r="72" spans="1:33">
      <c r="A72" s="326" t="str">
        <f>+D31</f>
        <v>m3</v>
      </c>
      <c r="B72" s="245" t="str">
        <f>"Agua"&amp;" (COP/"&amp;A72&amp;")"</f>
        <v>Agua (COP/m3)</v>
      </c>
      <c r="C72" s="264">
        <f>+Precios_tarifas!C11</f>
        <v>6238.0704732592994</v>
      </c>
      <c r="D72" s="264">
        <f>+C72*(1+Precios_tarifas!$D$2)</f>
        <v>6549.9739969222646</v>
      </c>
      <c r="E72" s="264">
        <f>+D72*(1+Precios_tarifas!$D$2)</f>
        <v>6877.4726967683782</v>
      </c>
      <c r="F72" s="264">
        <f>IF(F$69&lt;=$C$22,+E72*(1+Precios_tarifas!$D$4),0)</f>
        <v>7221.3463316067973</v>
      </c>
      <c r="G72" s="264">
        <f>IF(G$69&lt;=$C$22,+F72*(1+Precios_tarifas!$D$4),0)</f>
        <v>7582.4136481871374</v>
      </c>
      <c r="H72" s="264">
        <f>IF(H$69&lt;=$C$22,+G72*(1+Precios_tarifas!$D$4),0)</f>
        <v>7961.5343305964943</v>
      </c>
      <c r="I72" s="264">
        <f>IF(I$69&lt;=$C$22,+H72*(1+Precios_tarifas!$D$4),0)</f>
        <v>8359.61104712632</v>
      </c>
      <c r="J72" s="264">
        <f>IF(J$69&lt;=$C$22,+I72*(1+Precios_tarifas!$D$4),0)</f>
        <v>8777.5915994826373</v>
      </c>
      <c r="K72" s="264">
        <f>IF(K$69&lt;=$C$22,+J72*(1+Precios_tarifas!$D$4),0)</f>
        <v>9216.4711794567702</v>
      </c>
      <c r="L72" s="264">
        <f>IF(L$69&lt;=$C$22,+K72*(1+Precios_tarifas!$D$4),0)</f>
        <v>9677.2947384296094</v>
      </c>
      <c r="M72" s="264">
        <f>IF(M$69&lt;=$C$22,+L72*(1+Precios_tarifas!$D$4),0)</f>
        <v>10161.159475351091</v>
      </c>
      <c r="N72" s="264">
        <f>IF(N$69&lt;=$C$22,+M72*(1+Precios_tarifas!$D$4),0)</f>
        <v>10669.217449118645</v>
      </c>
      <c r="O72" s="264">
        <f>IF(O$69&lt;=$C$22,+N72*(1+Precios_tarifas!$D$4),0)</f>
        <v>11202.678321574578</v>
      </c>
      <c r="P72" s="264">
        <f>IF(P$69&lt;=$C$22,+O72*(1+Precios_tarifas!$D$4),0)</f>
        <v>11762.812237653308</v>
      </c>
      <c r="Q72" s="264">
        <f>IF(Q$69&lt;=$C$22,+P72*(1+Precios_tarifas!$D$4),0)</f>
        <v>12350.952849535974</v>
      </c>
      <c r="R72" s="264">
        <f>IF(R$69&lt;=$C$22,+Q72*(1+Precios_tarifas!$D$4),0)</f>
        <v>12968.500492012772</v>
      </c>
      <c r="S72" s="264">
        <f>IF(S$69&lt;=$C$22,+R72*(1+Precios_tarifas!$D$4),0)</f>
        <v>13616.925516613412</v>
      </c>
      <c r="T72" s="264">
        <f>IF(T$69&lt;=$C$22,+S72*(1+Precios_tarifas!$D$4),0)</f>
        <v>14297.771792444082</v>
      </c>
      <c r="U72" s="264">
        <f>IF(U$69&lt;=$C$22,+T72*(1+Precios_tarifas!$D$4),0)</f>
        <v>15012.660382066288</v>
      </c>
      <c r="V72" s="264">
        <f>IF(V$69&lt;=$C$22,+U72*(1+Precios_tarifas!$D$4),0)</f>
        <v>15763.293401169603</v>
      </c>
      <c r="W72" s="264">
        <f>IF(W$69&lt;=$C$22,+V72*(1+Precios_tarifas!$D$4),0)</f>
        <v>16551.458071228084</v>
      </c>
      <c r="X72" s="264">
        <f>IF(X$69&lt;=$C$22,+W72*(1+Precios_tarifas!$D$4),0)</f>
        <v>17379.03097478949</v>
      </c>
      <c r="Y72" s="264">
        <f>IF(Y$69&lt;=$C$22,+X72*(1+Precios_tarifas!$D$4),0)</f>
        <v>18247.982523528965</v>
      </c>
      <c r="Z72" s="264">
        <f>IF(Z$69&lt;=$C$22,+Y72*(1+Precios_tarifas!$D$4),0)</f>
        <v>19160.381649705414</v>
      </c>
      <c r="AA72" s="264">
        <f>IF(AA$69&lt;=$C$22,+Z72*(1+Precios_tarifas!$D$4),0)</f>
        <v>20118.400732190687</v>
      </c>
      <c r="AB72" s="264">
        <f>IF(AB$69&lt;=$C$22,+AA72*(1+Precios_tarifas!$D$4),0)</f>
        <v>21124.320768800222</v>
      </c>
      <c r="AC72" s="264">
        <f>IF(AC$69&lt;=$C$22,+AB72*(1+Precios_tarifas!$D$4),0)</f>
        <v>0</v>
      </c>
      <c r="AD72" s="264">
        <f>IF(AD$69&lt;=$C$22,+AC72*(1+Precios_tarifas!$D$4),0)</f>
        <v>0</v>
      </c>
      <c r="AE72" s="264">
        <f>IF(AE$69&lt;=$C$22,+AD72*(1+Precios_tarifas!$D$4),0)</f>
        <v>0</v>
      </c>
      <c r="AF72" s="264">
        <f>IF(AF$69&lt;=$C$22,+AE72*(1+Precios_tarifas!$D$4),0)</f>
        <v>0</v>
      </c>
      <c r="AG72" s="264">
        <f>IF(AG$69&lt;=$C$22,+AF72*(1+Precios_tarifas!$D$4),0)</f>
        <v>0</v>
      </c>
    </row>
    <row r="73" spans="1:33">
      <c r="A73" s="271"/>
      <c r="B73" s="271"/>
      <c r="C73" s="271"/>
      <c r="F73" s="271"/>
      <c r="G73" s="271"/>
      <c r="H73" s="271"/>
      <c r="I73" s="271"/>
      <c r="J73" s="271"/>
      <c r="K73" s="271"/>
      <c r="L73" s="271"/>
      <c r="M73" s="271"/>
      <c r="N73" s="271"/>
      <c r="O73" s="271"/>
      <c r="P73" s="271"/>
      <c r="Q73" s="271"/>
      <c r="R73" s="271"/>
      <c r="S73" s="271"/>
      <c r="T73" s="271"/>
      <c r="U73" s="271"/>
      <c r="V73" s="271"/>
      <c r="W73" s="271"/>
    </row>
    <row r="74" spans="1:33">
      <c r="A74" s="271"/>
      <c r="B74" s="271"/>
      <c r="C74" s="271"/>
      <c r="F74" s="271"/>
      <c r="G74" s="271"/>
      <c r="H74" s="271"/>
      <c r="I74" s="271"/>
      <c r="J74" s="271"/>
      <c r="K74" s="271"/>
      <c r="L74" s="271"/>
      <c r="M74" s="271"/>
      <c r="N74" s="271"/>
      <c r="O74" s="271"/>
      <c r="P74" s="271"/>
      <c r="Q74" s="271"/>
      <c r="R74" s="271"/>
      <c r="S74" s="271"/>
      <c r="T74" s="271"/>
      <c r="U74" s="271"/>
      <c r="V74" s="271"/>
      <c r="W74" s="271"/>
    </row>
    <row r="75" spans="1:33">
      <c r="C75" s="241"/>
      <c r="D75" s="241"/>
      <c r="E75" s="241"/>
      <c r="F75" s="265"/>
      <c r="G75" s="265"/>
      <c r="H75" s="265"/>
      <c r="I75" s="266"/>
      <c r="J75" s="266"/>
      <c r="K75" s="266"/>
      <c r="L75" s="266"/>
      <c r="M75" s="266"/>
      <c r="N75" s="266"/>
      <c r="O75" s="266"/>
      <c r="P75" s="266"/>
      <c r="Q75" s="266"/>
      <c r="R75" s="266"/>
      <c r="S75" s="266"/>
      <c r="T75" s="266"/>
      <c r="U75" s="266"/>
      <c r="V75" s="266"/>
      <c r="W75" s="266"/>
    </row>
    <row r="76" spans="1:33" ht="14.25">
      <c r="B76" s="523" t="s">
        <v>312</v>
      </c>
      <c r="C76" s="523"/>
      <c r="D76" s="523"/>
      <c r="E76" s="523"/>
      <c r="F76" s="265"/>
      <c r="G76" s="268"/>
      <c r="H76" s="268"/>
      <c r="I76" s="268"/>
      <c r="J76" s="268"/>
      <c r="K76" s="268"/>
      <c r="L76" s="268"/>
      <c r="M76" s="268"/>
      <c r="N76" s="268"/>
      <c r="O76" s="268"/>
      <c r="P76" s="268"/>
      <c r="Q76" s="268"/>
      <c r="R76" s="268"/>
      <c r="S76" s="268"/>
      <c r="T76" s="268"/>
      <c r="U76" s="268"/>
      <c r="V76" s="268"/>
      <c r="W76" s="268"/>
    </row>
    <row r="77" spans="1:33" ht="14.25">
      <c r="B77" s="525" t="s">
        <v>313</v>
      </c>
      <c r="C77" s="525"/>
      <c r="D77" s="348">
        <v>193105</v>
      </c>
      <c r="E77" s="349" t="s">
        <v>314</v>
      </c>
      <c r="F77" s="265"/>
      <c r="G77" s="268"/>
      <c r="H77" s="268"/>
      <c r="I77" s="268"/>
      <c r="J77" s="268"/>
      <c r="K77" s="268"/>
      <c r="L77" s="268"/>
      <c r="M77" s="268"/>
      <c r="N77" s="268"/>
      <c r="O77" s="268"/>
      <c r="P77" s="268"/>
      <c r="Q77" s="268"/>
      <c r="R77" s="268"/>
      <c r="S77" s="268"/>
      <c r="T77" s="268"/>
      <c r="U77" s="268"/>
      <c r="V77" s="268"/>
      <c r="W77" s="268"/>
    </row>
    <row r="78" spans="1:33" ht="14.25">
      <c r="B78" s="525" t="s">
        <v>315</v>
      </c>
      <c r="C78" s="525"/>
      <c r="D78" s="350">
        <v>92850000</v>
      </c>
      <c r="E78" s="349" t="s">
        <v>316</v>
      </c>
      <c r="F78" s="265"/>
      <c r="G78" s="268"/>
      <c r="H78" s="268"/>
      <c r="I78" s="268"/>
      <c r="J78" s="268"/>
      <c r="K78" s="268"/>
      <c r="L78" s="268"/>
      <c r="M78" s="268"/>
      <c r="N78" s="268"/>
      <c r="O78" s="268"/>
      <c r="P78" s="268"/>
      <c r="Q78" s="268"/>
      <c r="R78" s="268"/>
      <c r="S78" s="268"/>
      <c r="T78" s="268"/>
      <c r="U78" s="268"/>
      <c r="V78" s="268"/>
      <c r="W78" s="268"/>
    </row>
    <row r="79" spans="1:33" ht="14.25">
      <c r="B79" s="525" t="s">
        <v>317</v>
      </c>
      <c r="C79" s="525"/>
      <c r="D79" s="350">
        <v>849250000</v>
      </c>
      <c r="E79" s="349" t="s">
        <v>316</v>
      </c>
      <c r="F79" s="265"/>
      <c r="G79" s="268"/>
      <c r="H79" s="268"/>
      <c r="I79" s="268"/>
      <c r="J79" s="268"/>
      <c r="K79" s="268"/>
      <c r="L79" s="268"/>
      <c r="M79" s="268"/>
      <c r="N79" s="268"/>
      <c r="O79" s="268"/>
      <c r="P79" s="268"/>
      <c r="Q79" s="268"/>
      <c r="R79" s="268"/>
      <c r="S79" s="268"/>
      <c r="T79" s="268"/>
      <c r="U79" s="268"/>
      <c r="V79" s="268"/>
      <c r="W79" s="268"/>
    </row>
    <row r="80" spans="1:33" ht="14.25">
      <c r="B80" s="523" t="s">
        <v>318</v>
      </c>
      <c r="C80" s="523"/>
      <c r="D80" s="523"/>
      <c r="E80" s="523"/>
      <c r="F80" s="265"/>
      <c r="G80" s="268"/>
      <c r="H80" s="268"/>
      <c r="I80" s="268"/>
      <c r="J80" s="268"/>
      <c r="K80" s="268"/>
      <c r="L80" s="268"/>
      <c r="M80" s="268"/>
      <c r="N80" s="268"/>
      <c r="O80" s="268"/>
      <c r="P80" s="268"/>
      <c r="Q80" s="268"/>
      <c r="R80" s="268"/>
      <c r="S80" s="268"/>
      <c r="T80" s="268"/>
      <c r="U80" s="268"/>
      <c r="V80" s="268"/>
      <c r="W80" s="268"/>
    </row>
    <row r="81" spans="1:23" ht="14.25">
      <c r="B81" s="349" t="s">
        <v>313</v>
      </c>
      <c r="C81" s="524">
        <v>42369</v>
      </c>
      <c r="D81" s="524"/>
      <c r="E81" s="349" t="s">
        <v>314</v>
      </c>
      <c r="F81" s="265"/>
      <c r="G81" s="241"/>
      <c r="H81" s="241"/>
      <c r="I81" s="241"/>
      <c r="J81" s="241"/>
      <c r="K81" s="241"/>
      <c r="L81" s="241"/>
      <c r="M81" s="241"/>
      <c r="N81" s="241"/>
      <c r="O81" s="241"/>
      <c r="P81" s="241"/>
      <c r="Q81" s="241"/>
      <c r="R81" s="241"/>
      <c r="S81" s="241"/>
      <c r="T81" s="241"/>
      <c r="U81" s="241"/>
      <c r="V81" s="241"/>
      <c r="W81" s="241"/>
    </row>
    <row r="82" spans="1:23" ht="28.5">
      <c r="B82" s="349" t="s">
        <v>315</v>
      </c>
      <c r="C82" s="521">
        <v>20430000</v>
      </c>
      <c r="D82" s="521"/>
      <c r="E82" s="349" t="s">
        <v>316</v>
      </c>
      <c r="F82" s="265"/>
      <c r="G82" s="241"/>
      <c r="H82" s="241"/>
      <c r="I82" s="241"/>
      <c r="J82" s="241"/>
      <c r="K82" s="241"/>
      <c r="L82" s="241"/>
      <c r="M82" s="241"/>
      <c r="N82" s="241"/>
      <c r="O82" s="241"/>
      <c r="P82" s="241"/>
      <c r="Q82" s="241"/>
      <c r="R82" s="241"/>
      <c r="S82" s="241"/>
      <c r="T82" s="241"/>
      <c r="U82" s="241"/>
      <c r="V82" s="241"/>
      <c r="W82" s="241"/>
    </row>
    <row r="83" spans="1:23" ht="14.25">
      <c r="B83" s="349" t="s">
        <v>317</v>
      </c>
      <c r="C83" s="521">
        <v>186390000</v>
      </c>
      <c r="D83" s="521"/>
      <c r="E83" s="349" t="s">
        <v>316</v>
      </c>
      <c r="F83" s="265"/>
    </row>
    <row r="84" spans="1:23" ht="14.25">
      <c r="B84" s="523" t="s">
        <v>319</v>
      </c>
      <c r="C84" s="523"/>
      <c r="D84" s="523"/>
      <c r="E84" s="523"/>
      <c r="F84" s="265"/>
    </row>
    <row r="85" spans="1:23" ht="14.25">
      <c r="B85" s="349" t="s">
        <v>313</v>
      </c>
      <c r="C85" s="524">
        <v>48245</v>
      </c>
      <c r="D85" s="524"/>
      <c r="E85" s="349" t="s">
        <v>314</v>
      </c>
      <c r="F85" s="265"/>
    </row>
    <row r="86" spans="1:23" ht="28.5">
      <c r="B86" s="349" t="s">
        <v>315</v>
      </c>
      <c r="C86" s="521">
        <v>24390000</v>
      </c>
      <c r="D86" s="521"/>
      <c r="E86" s="349" t="s">
        <v>316</v>
      </c>
      <c r="F86" s="265"/>
    </row>
    <row r="87" spans="1:23" ht="14.25">
      <c r="B87" s="349" t="s">
        <v>317</v>
      </c>
      <c r="C87" s="521">
        <v>213360000</v>
      </c>
      <c r="D87" s="521"/>
      <c r="E87" s="349" t="s">
        <v>316</v>
      </c>
      <c r="F87" s="265"/>
    </row>
    <row r="88" spans="1:23" ht="14.25">
      <c r="B88" s="523" t="s">
        <v>320</v>
      </c>
      <c r="C88" s="523"/>
      <c r="D88" s="523"/>
      <c r="E88" s="523"/>
      <c r="F88" s="265"/>
    </row>
    <row r="89" spans="1:23" ht="14.25">
      <c r="B89" s="349" t="s">
        <v>313</v>
      </c>
      <c r="C89" s="524">
        <v>42369</v>
      </c>
      <c r="D89" s="524"/>
      <c r="E89" s="349" t="s">
        <v>314</v>
      </c>
    </row>
    <row r="90" spans="1:23" ht="28.5">
      <c r="A90" s="270"/>
      <c r="B90" s="349" t="s">
        <v>315</v>
      </c>
      <c r="C90" s="521">
        <v>20430000</v>
      </c>
      <c r="D90" s="521"/>
      <c r="E90" s="349" t="s">
        <v>316</v>
      </c>
    </row>
    <row r="91" spans="1:23" ht="14.25">
      <c r="B91" s="349" t="s">
        <v>317</v>
      </c>
      <c r="C91" s="521">
        <v>186390000</v>
      </c>
      <c r="D91" s="521"/>
      <c r="E91" s="349" t="s">
        <v>316</v>
      </c>
    </row>
    <row r="92" spans="1:23" ht="14.25">
      <c r="B92" s="523" t="s">
        <v>321</v>
      </c>
      <c r="C92" s="523"/>
      <c r="D92" s="523"/>
      <c r="E92" s="523"/>
    </row>
    <row r="93" spans="1:23" ht="14.25">
      <c r="B93" s="349" t="s">
        <v>313</v>
      </c>
      <c r="C93" s="524">
        <v>48245</v>
      </c>
      <c r="D93" s="524"/>
      <c r="E93" s="349" t="s">
        <v>314</v>
      </c>
    </row>
    <row r="94" spans="1:23" ht="28.5">
      <c r="B94" s="349" t="s">
        <v>315</v>
      </c>
      <c r="C94" s="521">
        <v>24390000</v>
      </c>
      <c r="D94" s="521"/>
      <c r="E94" s="349" t="s">
        <v>316</v>
      </c>
    </row>
    <row r="95" spans="1:23" ht="14.25">
      <c r="B95" s="349" t="s">
        <v>317</v>
      </c>
      <c r="C95" s="521">
        <v>213360000</v>
      </c>
      <c r="D95" s="521"/>
      <c r="E95" s="349" t="s">
        <v>316</v>
      </c>
    </row>
    <row r="96" spans="1:23" ht="14.25">
      <c r="B96" s="523" t="s">
        <v>322</v>
      </c>
      <c r="C96" s="523"/>
      <c r="D96" s="523"/>
      <c r="E96" s="523"/>
    </row>
    <row r="97" spans="2:6" ht="14.25">
      <c r="B97" s="349" t="s">
        <v>313</v>
      </c>
      <c r="C97" s="524">
        <v>58994</v>
      </c>
      <c r="D97" s="524"/>
      <c r="E97" s="349" t="s">
        <v>314</v>
      </c>
    </row>
    <row r="98" spans="2:6" ht="28.5">
      <c r="B98" s="349" t="s">
        <v>315</v>
      </c>
      <c r="C98" s="521">
        <v>27210000</v>
      </c>
      <c r="D98" s="521"/>
      <c r="E98" s="349" t="s">
        <v>316</v>
      </c>
      <c r="F98" s="353"/>
    </row>
    <row r="99" spans="2:6" ht="14.25">
      <c r="B99" s="349" t="s">
        <v>317</v>
      </c>
      <c r="C99" s="521">
        <v>258290000</v>
      </c>
      <c r="D99" s="521"/>
      <c r="E99" s="349" t="s">
        <v>316</v>
      </c>
    </row>
    <row r="100" spans="2:6">
      <c r="B100" s="522" t="s">
        <v>96</v>
      </c>
      <c r="C100" s="522"/>
      <c r="D100" s="352">
        <f>C99+C95+C91+C87+C83+D79</f>
        <v>1907040000</v>
      </c>
      <c r="E100" s="351"/>
    </row>
  </sheetData>
  <mergeCells count="45">
    <mergeCell ref="C10:I10"/>
    <mergeCell ref="B3:I3"/>
    <mergeCell ref="B4:E4"/>
    <mergeCell ref="F4:I4"/>
    <mergeCell ref="B5:E9"/>
    <mergeCell ref="F5:I9"/>
    <mergeCell ref="A52:A53"/>
    <mergeCell ref="C11:I11"/>
    <mergeCell ref="C12:I12"/>
    <mergeCell ref="C13:I13"/>
    <mergeCell ref="C14:I14"/>
    <mergeCell ref="C15:I15"/>
    <mergeCell ref="C16:I16"/>
    <mergeCell ref="C17:I17"/>
    <mergeCell ref="C18:I18"/>
    <mergeCell ref="F20:H20"/>
    <mergeCell ref="A48:A49"/>
    <mergeCell ref="A50:A51"/>
    <mergeCell ref="A54:A55"/>
    <mergeCell ref="A56:A57"/>
    <mergeCell ref="B76:E76"/>
    <mergeCell ref="B77:C77"/>
    <mergeCell ref="B78:C78"/>
    <mergeCell ref="B88:E88"/>
    <mergeCell ref="B79:C79"/>
    <mergeCell ref="B80:E80"/>
    <mergeCell ref="C81:D81"/>
    <mergeCell ref="C82:D82"/>
    <mergeCell ref="C83:D83"/>
    <mergeCell ref="B84:E84"/>
    <mergeCell ref="C85:D85"/>
    <mergeCell ref="C86:D86"/>
    <mergeCell ref="C87:D87"/>
    <mergeCell ref="C89:D89"/>
    <mergeCell ref="C90:D90"/>
    <mergeCell ref="C91:D91"/>
    <mergeCell ref="B92:E92"/>
    <mergeCell ref="C93:D93"/>
    <mergeCell ref="C99:D99"/>
    <mergeCell ref="B100:C100"/>
    <mergeCell ref="C94:D94"/>
    <mergeCell ref="C95:D95"/>
    <mergeCell ref="B96:E96"/>
    <mergeCell ref="C97:D97"/>
    <mergeCell ref="C98:D98"/>
  </mergeCells>
  <conditionalFormatting sqref="C37:AG37 C46:AG46">
    <cfRule type="expression" dxfId="7" priority="4">
      <formula>C37&gt;$C$22</formula>
    </cfRule>
  </conditionalFormatting>
  <conditionalFormatting sqref="C38:AG44 AH52:XFD55">
    <cfRule type="expression" dxfId="6" priority="2">
      <formula>C$37&gt;$C$22</formula>
    </cfRule>
  </conditionalFormatting>
  <conditionalFormatting sqref="C47:AG66">
    <cfRule type="expression" dxfId="5" priority="1">
      <formula>C$37&gt;$C$22</formula>
    </cfRule>
  </conditionalFormatting>
  <conditionalFormatting sqref="F69:AG72">
    <cfRule type="expression" dxfId="4" priority="3">
      <formula>F$69&gt;$C$22</formula>
    </cfRule>
  </conditionalFormatting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22"/>
  <sheetViews>
    <sheetView showGridLines="0" topLeftCell="A13" workbookViewId="0">
      <selection activeCell="G23" sqref="G23"/>
    </sheetView>
  </sheetViews>
  <sheetFormatPr baseColWidth="10" defaultColWidth="9.140625" defaultRowHeight="12.75"/>
  <cols>
    <col min="1" max="1" width="23.28515625" style="209" customWidth="1"/>
    <col min="2" max="2" width="32.7109375" style="209" customWidth="1"/>
    <col min="3" max="3" width="26.140625" style="209" customWidth="1"/>
    <col min="4" max="4" width="15.42578125" style="209" bestFit="1" customWidth="1"/>
    <col min="5" max="5" width="17.42578125" style="209" customWidth="1"/>
    <col min="6" max="6" width="16.140625" style="209" bestFit="1" customWidth="1"/>
    <col min="7" max="7" width="20.42578125" style="209" bestFit="1" customWidth="1"/>
    <col min="8" max="8" width="17.5703125" style="209" customWidth="1"/>
    <col min="9" max="9" width="16.5703125" style="209" customWidth="1"/>
    <col min="10" max="10" width="15.140625" style="209" bestFit="1" customWidth="1"/>
    <col min="11" max="13" width="14.5703125" style="209" bestFit="1" customWidth="1"/>
    <col min="14" max="14" width="14.28515625" style="209" bestFit="1" customWidth="1"/>
    <col min="15" max="15" width="14.7109375" style="209" bestFit="1" customWidth="1"/>
    <col min="16" max="16" width="15.42578125" style="209" bestFit="1" customWidth="1"/>
    <col min="17" max="17" width="14.7109375" style="209" bestFit="1" customWidth="1"/>
    <col min="18" max="18" width="15.140625" style="209" bestFit="1" customWidth="1"/>
    <col min="19" max="19" width="15.42578125" style="209" bestFit="1" customWidth="1"/>
    <col min="20" max="20" width="15.140625" style="209" bestFit="1" customWidth="1"/>
    <col min="21" max="21" width="15.42578125" style="209" bestFit="1" customWidth="1"/>
    <col min="22" max="22" width="14.42578125" style="209" bestFit="1" customWidth="1"/>
    <col min="23" max="23" width="14.7109375" style="209" bestFit="1" customWidth="1"/>
    <col min="24" max="16384" width="9.140625" style="209"/>
  </cols>
  <sheetData>
    <row r="1" spans="2:15">
      <c r="L1" s="210" t="s">
        <v>236</v>
      </c>
      <c r="M1" s="210" t="s">
        <v>237</v>
      </c>
      <c r="N1" s="210" t="s">
        <v>4</v>
      </c>
      <c r="O1" s="210" t="s">
        <v>238</v>
      </c>
    </row>
    <row r="2" spans="2:15">
      <c r="L2" s="210" t="s">
        <v>239</v>
      </c>
      <c r="M2" s="210" t="s">
        <v>13</v>
      </c>
      <c r="N2" s="210" t="s">
        <v>15</v>
      </c>
      <c r="O2" s="210" t="s">
        <v>9</v>
      </c>
    </row>
    <row r="3" spans="2:15" ht="23.25">
      <c r="B3" s="457" t="s">
        <v>240</v>
      </c>
      <c r="C3" s="457"/>
      <c r="D3" s="457"/>
      <c r="E3" s="457"/>
      <c r="F3" s="457"/>
      <c r="G3" s="457"/>
      <c r="H3" s="457"/>
      <c r="I3" s="457"/>
      <c r="L3" s="210" t="s">
        <v>241</v>
      </c>
      <c r="M3" s="210" t="s">
        <v>9</v>
      </c>
      <c r="N3" s="210" t="s">
        <v>9</v>
      </c>
      <c r="O3" s="210" t="s">
        <v>15</v>
      </c>
    </row>
    <row r="4" spans="2:15" ht="15.75">
      <c r="B4" s="458" t="s">
        <v>242</v>
      </c>
      <c r="C4" s="458"/>
      <c r="D4" s="458"/>
      <c r="E4" s="458"/>
      <c r="F4" s="458" t="s">
        <v>243</v>
      </c>
      <c r="G4" s="458"/>
      <c r="H4" s="458"/>
      <c r="I4" s="458"/>
      <c r="L4" s="210"/>
      <c r="M4" s="210"/>
      <c r="N4" s="210"/>
      <c r="O4" s="210"/>
    </row>
    <row r="5" spans="2:15" ht="23.25" customHeight="1">
      <c r="B5" s="459" t="s">
        <v>295</v>
      </c>
      <c r="C5" s="460"/>
      <c r="D5" s="460"/>
      <c r="E5" s="461"/>
      <c r="F5" s="468" t="s">
        <v>298</v>
      </c>
      <c r="G5" s="468"/>
      <c r="H5" s="468"/>
      <c r="I5" s="468"/>
      <c r="L5" s="210"/>
      <c r="M5" s="210"/>
      <c r="N5" s="210"/>
      <c r="O5" s="210"/>
    </row>
    <row r="6" spans="2:15" ht="23.25" customHeight="1">
      <c r="B6" s="462"/>
      <c r="C6" s="463"/>
      <c r="D6" s="463"/>
      <c r="E6" s="464"/>
      <c r="F6" s="468"/>
      <c r="G6" s="468"/>
      <c r="H6" s="468"/>
      <c r="I6" s="468"/>
      <c r="L6" s="210"/>
      <c r="M6" s="210"/>
      <c r="N6" s="210"/>
      <c r="O6" s="210"/>
    </row>
    <row r="7" spans="2:15" ht="23.25" customHeight="1">
      <c r="B7" s="462"/>
      <c r="C7" s="463"/>
      <c r="D7" s="463"/>
      <c r="E7" s="464"/>
      <c r="F7" s="468"/>
      <c r="G7" s="468"/>
      <c r="H7" s="468"/>
      <c r="I7" s="468"/>
      <c r="L7" s="210"/>
      <c r="M7" s="210"/>
      <c r="N7" s="210"/>
      <c r="O7" s="210"/>
    </row>
    <row r="8" spans="2:15" ht="23.25" customHeight="1">
      <c r="B8" s="462"/>
      <c r="C8" s="463"/>
      <c r="D8" s="463"/>
      <c r="E8" s="464"/>
      <c r="F8" s="468"/>
      <c r="G8" s="468"/>
      <c r="H8" s="468"/>
      <c r="I8" s="468"/>
      <c r="L8" s="210"/>
      <c r="M8" s="210"/>
      <c r="N8" s="210"/>
      <c r="O8" s="210"/>
    </row>
    <row r="9" spans="2:15" ht="24" customHeight="1">
      <c r="B9" s="465"/>
      <c r="C9" s="466"/>
      <c r="D9" s="466"/>
      <c r="E9" s="467"/>
      <c r="F9" s="468"/>
      <c r="G9" s="468"/>
      <c r="H9" s="468"/>
      <c r="I9" s="468"/>
      <c r="L9" s="210"/>
      <c r="M9" s="210"/>
      <c r="N9" s="210"/>
      <c r="O9" s="210"/>
    </row>
    <row r="10" spans="2:15" ht="13.5" thickBot="1">
      <c r="B10" s="211" t="s">
        <v>246</v>
      </c>
      <c r="C10" s="469" t="str">
        <f>+'List of ECMs'!A11</f>
        <v>ECM-9</v>
      </c>
      <c r="D10" s="469"/>
      <c r="E10" s="469"/>
      <c r="F10" s="469"/>
      <c r="G10" s="469"/>
      <c r="H10" s="469"/>
      <c r="I10" s="469"/>
    </row>
    <row r="11" spans="2:15" ht="13.5" thickBot="1">
      <c r="B11" s="212" t="s">
        <v>247</v>
      </c>
      <c r="C11" s="470"/>
      <c r="D11" s="470"/>
      <c r="E11" s="470"/>
      <c r="F11" s="470"/>
      <c r="G11" s="470"/>
      <c r="H11" s="470"/>
      <c r="I11" s="470"/>
    </row>
    <row r="12" spans="2:15" ht="13.5" thickBot="1">
      <c r="B12" s="212" t="s">
        <v>248</v>
      </c>
      <c r="C12" s="471" t="str">
        <f>+'List of ECMs'!B11</f>
        <v>Implementacion de un sistema de gestión energética en linea para el control operacional del desempeño energético</v>
      </c>
      <c r="D12" s="472"/>
      <c r="E12" s="472"/>
      <c r="F12" s="472"/>
      <c r="G12" s="472"/>
      <c r="H12" s="472"/>
      <c r="I12" s="473"/>
    </row>
    <row r="13" spans="2:15" ht="13.5" thickBot="1">
      <c r="B13" s="212" t="s">
        <v>19</v>
      </c>
      <c r="C13" s="454" t="str">
        <f>+'Unidades de Trabajo'!B9</f>
        <v>COP</v>
      </c>
      <c r="D13" s="455"/>
      <c r="E13" s="455"/>
      <c r="F13" s="455"/>
      <c r="G13" s="455"/>
      <c r="H13" s="455"/>
      <c r="I13" s="456"/>
    </row>
    <row r="14" spans="2:15" ht="13.5" thickBot="1">
      <c r="B14" s="212" t="s">
        <v>249</v>
      </c>
      <c r="C14" s="454" t="str">
        <f>+'Unidades de Trabajo'!B4</f>
        <v>kWh</v>
      </c>
      <c r="D14" s="455"/>
      <c r="E14" s="455"/>
      <c r="F14" s="455"/>
      <c r="G14" s="455"/>
      <c r="H14" s="455"/>
      <c r="I14" s="456"/>
    </row>
    <row r="15" spans="2:15" ht="13.5" thickBot="1">
      <c r="B15" s="212" t="s">
        <v>250</v>
      </c>
      <c r="C15" s="454" t="str">
        <f>+'Unidades de Trabajo'!B5</f>
        <v>m3</v>
      </c>
      <c r="D15" s="455"/>
      <c r="E15" s="455"/>
      <c r="F15" s="455"/>
      <c r="G15" s="455"/>
      <c r="H15" s="455"/>
      <c r="I15" s="456"/>
    </row>
    <row r="16" spans="2:15" ht="13.5" thickBot="1">
      <c r="B16" s="212" t="s">
        <v>251</v>
      </c>
      <c r="C16" s="454" t="str">
        <f>+'Unidades de Trabajo'!B6</f>
        <v>Gal</v>
      </c>
      <c r="D16" s="455"/>
      <c r="E16" s="455"/>
      <c r="F16" s="455"/>
      <c r="G16" s="455"/>
      <c r="H16" s="455"/>
      <c r="I16" s="456"/>
    </row>
    <row r="17" spans="2:12" ht="13.5" thickBot="1">
      <c r="B17" s="212" t="s">
        <v>252</v>
      </c>
      <c r="C17" s="454" t="str">
        <f>+'Unidades de Trabajo'!B7</f>
        <v>NA</v>
      </c>
      <c r="D17" s="455"/>
      <c r="E17" s="455"/>
      <c r="F17" s="455"/>
      <c r="G17" s="455"/>
      <c r="H17" s="455"/>
      <c r="I17" s="456"/>
    </row>
    <row r="18" spans="2:12" ht="13.5" thickBot="1">
      <c r="B18" s="213" t="s">
        <v>253</v>
      </c>
      <c r="C18" s="454" t="str">
        <f>+'Unidades de Trabajo'!B8</f>
        <v>m3</v>
      </c>
      <c r="D18" s="455"/>
      <c r="E18" s="455"/>
      <c r="F18" s="455"/>
      <c r="G18" s="455"/>
      <c r="H18" s="455"/>
      <c r="I18" s="456"/>
    </row>
    <row r="19" spans="2:12">
      <c r="B19" s="214"/>
    </row>
    <row r="20" spans="2:12" ht="15.75" thickBot="1">
      <c r="B20" s="215" t="s">
        <v>254</v>
      </c>
      <c r="C20" s="216"/>
      <c r="D20" s="216"/>
      <c r="F20" s="476" t="s">
        <v>255</v>
      </c>
      <c r="G20" s="476"/>
      <c r="H20" s="476"/>
      <c r="J20" s="217"/>
      <c r="K20" s="217"/>
      <c r="L20" s="217"/>
    </row>
    <row r="21" spans="2:12" ht="15.75" thickBot="1">
      <c r="B21" s="218" t="s">
        <v>256</v>
      </c>
      <c r="C21" s="279">
        <f>E122</f>
        <v>91488665</v>
      </c>
      <c r="D21" s="219" t="str">
        <f>+C13</f>
        <v>COP</v>
      </c>
      <c r="E21" s="220"/>
      <c r="F21" s="221" t="s">
        <v>257</v>
      </c>
      <c r="G21" s="222">
        <f>IRR(C41:M41)*100</f>
        <v>30.012207048232952</v>
      </c>
      <c r="H21" s="221" t="s">
        <v>27</v>
      </c>
      <c r="J21" s="217"/>
      <c r="K21" s="223"/>
      <c r="L21" s="217"/>
    </row>
    <row r="22" spans="2:12" ht="15.75" thickBot="1">
      <c r="B22" s="218" t="s">
        <v>258</v>
      </c>
      <c r="C22" s="224">
        <v>5</v>
      </c>
      <c r="D22" s="219" t="s">
        <v>259</v>
      </c>
      <c r="F22" s="221" t="s">
        <v>260</v>
      </c>
      <c r="G22" s="225">
        <f>+C41+NPV(C34/100,D41:M41)</f>
        <v>125668215.84196487</v>
      </c>
      <c r="H22" s="221" t="str">
        <f>+C13</f>
        <v>COP</v>
      </c>
      <c r="J22" s="217"/>
      <c r="K22" s="226"/>
      <c r="L22" s="217"/>
    </row>
    <row r="23" spans="2:12" ht="13.5" thickBot="1">
      <c r="B23" s="218" t="s">
        <v>261</v>
      </c>
      <c r="C23" s="224">
        <v>10</v>
      </c>
      <c r="D23" s="219" t="s">
        <v>259</v>
      </c>
      <c r="F23" s="227" t="s">
        <v>262</v>
      </c>
      <c r="G23" s="228">
        <f>IF(C22&lt;=1,1,ABS(INTERCEPT(D44:M44,D37:M37))/ABS(SLOPE(D44:M44,D37:M37)))</f>
        <v>2.5087321381678001</v>
      </c>
      <c r="H23" s="227" t="s">
        <v>263</v>
      </c>
      <c r="K23" s="229"/>
    </row>
    <row r="24" spans="2:12" ht="15.75" thickBot="1">
      <c r="B24" s="230"/>
      <c r="C24" s="231"/>
      <c r="D24" s="232"/>
      <c r="F24" s="227" t="s">
        <v>264</v>
      </c>
      <c r="G24" s="233">
        <f>D47</f>
        <v>61681567.141320005</v>
      </c>
      <c r="H24" s="221" t="s">
        <v>20</v>
      </c>
    </row>
    <row r="25" spans="2:12" ht="15.75" thickBot="1">
      <c r="F25" s="227" t="s">
        <v>265</v>
      </c>
      <c r="G25" s="272">
        <f>C27/(Electricidad!E17*12)*100</f>
        <v>3.0000094735854539</v>
      </c>
      <c r="H25" s="221" t="s">
        <v>27</v>
      </c>
      <c r="K25" s="234"/>
    </row>
    <row r="26" spans="2:12" ht="15.75" thickBot="1">
      <c r="B26" s="215" t="s">
        <v>266</v>
      </c>
      <c r="C26" s="215"/>
      <c r="D26" s="215"/>
      <c r="F26" s="227" t="s">
        <v>267</v>
      </c>
      <c r="G26" s="228">
        <f>C27*'Gráficos de control'!$N$37/1000</f>
        <v>12.369168</v>
      </c>
      <c r="H26" s="227" t="s">
        <v>268</v>
      </c>
    </row>
    <row r="27" spans="2:12" ht="12.2" customHeight="1" thickBot="1">
      <c r="B27" s="235" t="s">
        <v>2</v>
      </c>
      <c r="C27" s="236">
        <v>98168</v>
      </c>
      <c r="D27" s="219" t="str">
        <f>+C14</f>
        <v>kWh</v>
      </c>
      <c r="E27" s="220"/>
    </row>
    <row r="28" spans="2:12" ht="13.5" thickBot="1">
      <c r="B28" s="235" t="s">
        <v>12</v>
      </c>
      <c r="C28" s="237"/>
      <c r="D28" s="219" t="str">
        <f>+C15</f>
        <v>m3</v>
      </c>
      <c r="I28" s="238"/>
    </row>
    <row r="29" spans="2:12" ht="13.5" thickBot="1">
      <c r="B29" s="235" t="s">
        <v>4</v>
      </c>
      <c r="C29" s="237"/>
      <c r="D29" s="219" t="str">
        <f>+C16</f>
        <v>Gal</v>
      </c>
      <c r="H29" s="25"/>
      <c r="I29" s="238"/>
    </row>
    <row r="30" spans="2:12" ht="13.5" thickBot="1">
      <c r="B30" s="235" t="s">
        <v>17</v>
      </c>
      <c r="C30" s="237"/>
      <c r="D30" s="219" t="str">
        <f>+C17</f>
        <v>NA</v>
      </c>
      <c r="H30" s="25"/>
      <c r="I30" s="238"/>
    </row>
    <row r="31" spans="2:12" ht="13.5" thickBot="1">
      <c r="B31" s="235" t="s">
        <v>24</v>
      </c>
      <c r="C31" s="239"/>
      <c r="D31" s="219" t="str">
        <f>+C18</f>
        <v>m3</v>
      </c>
    </row>
    <row r="32" spans="2:12" ht="12.2" customHeight="1" thickBot="1">
      <c r="B32" s="235" t="s">
        <v>6</v>
      </c>
      <c r="C32" s="239"/>
      <c r="D32" s="219" t="str">
        <f>+C13</f>
        <v>COP</v>
      </c>
    </row>
    <row r="33" spans="1:23" ht="13.5" thickBot="1">
      <c r="B33" s="235" t="s">
        <v>269</v>
      </c>
      <c r="C33" s="317">
        <v>0.35</v>
      </c>
      <c r="D33" s="219" t="s">
        <v>27</v>
      </c>
    </row>
    <row r="34" spans="1:23" ht="13.5" thickBot="1">
      <c r="B34" s="218" t="s">
        <v>270</v>
      </c>
      <c r="C34" s="317">
        <v>0.08</v>
      </c>
      <c r="D34" s="219" t="s">
        <v>27</v>
      </c>
      <c r="E34" s="240"/>
    </row>
    <row r="35" spans="1:23" ht="13.5" thickBot="1">
      <c r="B35" s="218" t="s">
        <v>271</v>
      </c>
      <c r="C35" s="237"/>
      <c r="D35" s="219" t="str">
        <f>+C13</f>
        <v>COP</v>
      </c>
      <c r="F35" s="241"/>
    </row>
    <row r="36" spans="1:23" ht="12.2" customHeight="1" thickBot="1"/>
    <row r="37" spans="1:23" ht="17.25" customHeight="1" thickBot="1">
      <c r="B37" s="242" t="s">
        <v>272</v>
      </c>
      <c r="C37" s="243">
        <v>0</v>
      </c>
      <c r="D37" s="243">
        <v>1</v>
      </c>
      <c r="E37" s="243">
        <v>2</v>
      </c>
      <c r="F37" s="243">
        <v>3</v>
      </c>
      <c r="G37" s="243">
        <v>4</v>
      </c>
      <c r="H37" s="243">
        <v>5</v>
      </c>
      <c r="I37" s="243">
        <v>6</v>
      </c>
      <c r="J37" s="243">
        <v>7</v>
      </c>
      <c r="K37" s="243">
        <v>8</v>
      </c>
      <c r="L37" s="243">
        <v>9</v>
      </c>
      <c r="M37" s="243">
        <v>10</v>
      </c>
      <c r="N37" s="244">
        <v>11</v>
      </c>
      <c r="O37" s="244">
        <v>12</v>
      </c>
      <c r="P37" s="244">
        <v>13</v>
      </c>
      <c r="Q37" s="244">
        <v>14</v>
      </c>
      <c r="R37" s="244">
        <v>15</v>
      </c>
      <c r="S37" s="244">
        <v>16</v>
      </c>
      <c r="T37" s="244">
        <v>17</v>
      </c>
      <c r="U37" s="244">
        <v>18</v>
      </c>
      <c r="V37" s="244">
        <v>19</v>
      </c>
      <c r="W37" s="244">
        <v>20</v>
      </c>
    </row>
    <row r="38" spans="1:23">
      <c r="B38" s="245" t="s">
        <v>273</v>
      </c>
      <c r="C38" s="278">
        <f>-C21</f>
        <v>-91488665</v>
      </c>
      <c r="D38" s="278">
        <v>0</v>
      </c>
      <c r="E38" s="278">
        <f>IF(E$37&lt;=$C$22,0,0)</f>
        <v>0</v>
      </c>
      <c r="F38" s="278">
        <f>IF(F$37&lt;=$C$22,0,0)</f>
        <v>0</v>
      </c>
      <c r="G38" s="278">
        <f t="shared" ref="G38:W38" si="0">IF(G$37&lt;=$C$22,0,0)</f>
        <v>0</v>
      </c>
      <c r="H38" s="278">
        <f t="shared" si="0"/>
        <v>0</v>
      </c>
      <c r="I38" s="278">
        <f t="shared" si="0"/>
        <v>0</v>
      </c>
      <c r="J38" s="278">
        <f t="shared" si="0"/>
        <v>0</v>
      </c>
      <c r="K38" s="278">
        <f t="shared" si="0"/>
        <v>0</v>
      </c>
      <c r="L38" s="278">
        <f t="shared" si="0"/>
        <v>0</v>
      </c>
      <c r="M38" s="278">
        <f t="shared" si="0"/>
        <v>0</v>
      </c>
      <c r="N38" s="278">
        <f t="shared" si="0"/>
        <v>0</v>
      </c>
      <c r="O38" s="278">
        <f t="shared" si="0"/>
        <v>0</v>
      </c>
      <c r="P38" s="278">
        <f t="shared" si="0"/>
        <v>0</v>
      </c>
      <c r="Q38" s="278">
        <f t="shared" si="0"/>
        <v>0</v>
      </c>
      <c r="R38" s="278">
        <f t="shared" si="0"/>
        <v>0</v>
      </c>
      <c r="S38" s="278">
        <f t="shared" si="0"/>
        <v>0</v>
      </c>
      <c r="T38" s="278">
        <f t="shared" si="0"/>
        <v>0</v>
      </c>
      <c r="U38" s="278">
        <f t="shared" si="0"/>
        <v>0</v>
      </c>
      <c r="V38" s="278">
        <f t="shared" si="0"/>
        <v>0</v>
      </c>
      <c r="W38" s="278">
        <f t="shared" si="0"/>
        <v>0</v>
      </c>
    </row>
    <row r="39" spans="1:23">
      <c r="B39" s="245" t="s">
        <v>274</v>
      </c>
      <c r="C39" s="278">
        <f>C60</f>
        <v>-20400000</v>
      </c>
      <c r="D39" s="278">
        <f>D60</f>
        <v>41281567.141320005</v>
      </c>
      <c r="E39" s="278">
        <f>IF(E$46&lt;=$C$22,E60,0)</f>
        <v>44365645.498386011</v>
      </c>
      <c r="F39" s="278">
        <f>IF(F$46&lt;=$C$22,F60,0)</f>
        <v>47603927.773305312</v>
      </c>
      <c r="G39" s="278">
        <f t="shared" ref="G39:W39" si="1">IF(G$46&lt;=$C$22,G60,0)</f>
        <v>51004124.161970586</v>
      </c>
      <c r="H39" s="278">
        <f t="shared" si="1"/>
        <v>54574330.370069116</v>
      </c>
      <c r="I39" s="278">
        <f t="shared" si="1"/>
        <v>0</v>
      </c>
      <c r="J39" s="278">
        <f t="shared" si="1"/>
        <v>0</v>
      </c>
      <c r="K39" s="278">
        <f t="shared" si="1"/>
        <v>0</v>
      </c>
      <c r="L39" s="278">
        <f t="shared" si="1"/>
        <v>0</v>
      </c>
      <c r="M39" s="278">
        <f t="shared" si="1"/>
        <v>0</v>
      </c>
      <c r="N39" s="278">
        <f t="shared" si="1"/>
        <v>0</v>
      </c>
      <c r="O39" s="278">
        <f t="shared" si="1"/>
        <v>0</v>
      </c>
      <c r="P39" s="278">
        <f t="shared" si="1"/>
        <v>0</v>
      </c>
      <c r="Q39" s="278">
        <f t="shared" si="1"/>
        <v>0</v>
      </c>
      <c r="R39" s="278">
        <f t="shared" si="1"/>
        <v>0</v>
      </c>
      <c r="S39" s="278">
        <f t="shared" si="1"/>
        <v>0</v>
      </c>
      <c r="T39" s="278">
        <f t="shared" si="1"/>
        <v>0</v>
      </c>
      <c r="U39" s="278">
        <f t="shared" si="1"/>
        <v>0</v>
      </c>
      <c r="V39" s="278">
        <f t="shared" si="1"/>
        <v>0</v>
      </c>
      <c r="W39" s="278">
        <f t="shared" si="1"/>
        <v>0</v>
      </c>
    </row>
    <row r="40" spans="1:23">
      <c r="B40" s="245" t="s">
        <v>275</v>
      </c>
      <c r="C40" s="278">
        <f>C63</f>
        <v>0</v>
      </c>
      <c r="D40" s="278">
        <f>D63</f>
        <v>-112464.45224462001</v>
      </c>
      <c r="E40" s="278">
        <f>IF(E$46&lt;=$C$22,E63,0)</f>
        <v>-123258.72649435102</v>
      </c>
      <c r="F40" s="278">
        <f>IF(F$46&lt;=$C$22,F63,0)</f>
        <v>-134592.71445656859</v>
      </c>
      <c r="G40" s="278">
        <f t="shared" ref="G40:W40" si="2">IF(G$46&lt;=$C$22,G63,0)</f>
        <v>-146493.40181689704</v>
      </c>
      <c r="H40" s="278">
        <f t="shared" si="2"/>
        <v>-158989.12354524189</v>
      </c>
      <c r="I40" s="278">
        <f t="shared" si="2"/>
        <v>0</v>
      </c>
      <c r="J40" s="278">
        <f t="shared" si="2"/>
        <v>0</v>
      </c>
      <c r="K40" s="278">
        <f t="shared" si="2"/>
        <v>0</v>
      </c>
      <c r="L40" s="278">
        <f t="shared" si="2"/>
        <v>0</v>
      </c>
      <c r="M40" s="278">
        <f t="shared" si="2"/>
        <v>0</v>
      </c>
      <c r="N40" s="278">
        <f t="shared" si="2"/>
        <v>0</v>
      </c>
      <c r="O40" s="278">
        <f t="shared" si="2"/>
        <v>0</v>
      </c>
      <c r="P40" s="278">
        <f t="shared" si="2"/>
        <v>0</v>
      </c>
      <c r="Q40" s="278">
        <f t="shared" si="2"/>
        <v>0</v>
      </c>
      <c r="R40" s="278">
        <f t="shared" si="2"/>
        <v>0</v>
      </c>
      <c r="S40" s="278">
        <f t="shared" si="2"/>
        <v>0</v>
      </c>
      <c r="T40" s="278">
        <f t="shared" si="2"/>
        <v>0</v>
      </c>
      <c r="U40" s="278">
        <f t="shared" si="2"/>
        <v>0</v>
      </c>
      <c r="V40" s="278">
        <f t="shared" si="2"/>
        <v>0</v>
      </c>
      <c r="W40" s="278">
        <f t="shared" si="2"/>
        <v>0</v>
      </c>
    </row>
    <row r="41" spans="1:23" ht="15">
      <c r="B41" s="247" t="s">
        <v>276</v>
      </c>
      <c r="C41" s="280">
        <f>SUM(C38:C40)</f>
        <v>-111888665</v>
      </c>
      <c r="D41" s="280">
        <f>SUM(D38:D40)</f>
        <v>41169102.689075388</v>
      </c>
      <c r="E41" s="280">
        <f>IF(E$46&lt;=$C$22,SUM(E38:E40),0)</f>
        <v>44242386.771891661</v>
      </c>
      <c r="F41" s="280">
        <f>IF(F$46&lt;=$C$22,SUM(F38:F40),0)</f>
        <v>47469335.058848746</v>
      </c>
      <c r="G41" s="280">
        <f t="shared" ref="G41:W41" si="3">IF(G$46&lt;=$C$22,SUM(G38:G40),0)</f>
        <v>50857630.760153688</v>
      </c>
      <c r="H41" s="280">
        <f t="shared" si="3"/>
        <v>54415341.246523872</v>
      </c>
      <c r="I41" s="280">
        <f t="shared" si="3"/>
        <v>0</v>
      </c>
      <c r="J41" s="280">
        <f t="shared" si="3"/>
        <v>0</v>
      </c>
      <c r="K41" s="280">
        <f t="shared" si="3"/>
        <v>0</v>
      </c>
      <c r="L41" s="280">
        <f t="shared" si="3"/>
        <v>0</v>
      </c>
      <c r="M41" s="280">
        <f t="shared" si="3"/>
        <v>0</v>
      </c>
      <c r="N41" s="280">
        <f t="shared" si="3"/>
        <v>0</v>
      </c>
      <c r="O41" s="280">
        <f t="shared" si="3"/>
        <v>0</v>
      </c>
      <c r="P41" s="280">
        <f t="shared" si="3"/>
        <v>0</v>
      </c>
      <c r="Q41" s="280">
        <f t="shared" si="3"/>
        <v>0</v>
      </c>
      <c r="R41" s="280">
        <f t="shared" si="3"/>
        <v>0</v>
      </c>
      <c r="S41" s="280">
        <f t="shared" si="3"/>
        <v>0</v>
      </c>
      <c r="T41" s="280">
        <f t="shared" si="3"/>
        <v>0</v>
      </c>
      <c r="U41" s="280">
        <f t="shared" si="3"/>
        <v>0</v>
      </c>
      <c r="V41" s="280">
        <f t="shared" si="3"/>
        <v>0</v>
      </c>
      <c r="W41" s="280">
        <f t="shared" si="3"/>
        <v>0</v>
      </c>
    </row>
    <row r="42" spans="1:23" ht="14.25">
      <c r="B42" s="249" t="s">
        <v>277</v>
      </c>
      <c r="C42" s="278">
        <f>C41</f>
        <v>-111888665</v>
      </c>
      <c r="D42" s="278">
        <f>C42+D41</f>
        <v>-70719562.310924619</v>
      </c>
      <c r="E42" s="278">
        <f>IF(E$46&lt;=$C$22,D42+E41,0)</f>
        <v>-26477175.539032958</v>
      </c>
      <c r="F42" s="278">
        <f>IF(F$46&lt;=$C$22,E42+F41,0)</f>
        <v>20992159.519815788</v>
      </c>
      <c r="G42" s="278">
        <f t="shared" ref="G42:W42" si="4">IF(G$46&lt;=$C$22,F42+G41,0)</f>
        <v>71849790.279969484</v>
      </c>
      <c r="H42" s="278">
        <f t="shared" si="4"/>
        <v>126265131.52649336</v>
      </c>
      <c r="I42" s="278">
        <f t="shared" si="4"/>
        <v>0</v>
      </c>
      <c r="J42" s="278">
        <f t="shared" si="4"/>
        <v>0</v>
      </c>
      <c r="K42" s="278">
        <f t="shared" si="4"/>
        <v>0</v>
      </c>
      <c r="L42" s="278">
        <f t="shared" si="4"/>
        <v>0</v>
      </c>
      <c r="M42" s="278">
        <f t="shared" si="4"/>
        <v>0</v>
      </c>
      <c r="N42" s="278">
        <f t="shared" si="4"/>
        <v>0</v>
      </c>
      <c r="O42" s="278">
        <f t="shared" si="4"/>
        <v>0</v>
      </c>
      <c r="P42" s="278">
        <f t="shared" si="4"/>
        <v>0</v>
      </c>
      <c r="Q42" s="278">
        <f t="shared" si="4"/>
        <v>0</v>
      </c>
      <c r="R42" s="278">
        <f t="shared" si="4"/>
        <v>0</v>
      </c>
      <c r="S42" s="278">
        <f t="shared" si="4"/>
        <v>0</v>
      </c>
      <c r="T42" s="278">
        <f t="shared" si="4"/>
        <v>0</v>
      </c>
      <c r="U42" s="278">
        <f t="shared" si="4"/>
        <v>0</v>
      </c>
      <c r="V42" s="278">
        <f t="shared" si="4"/>
        <v>0</v>
      </c>
      <c r="W42" s="278">
        <f t="shared" si="4"/>
        <v>0</v>
      </c>
    </row>
    <row r="43" spans="1:23" ht="14.25">
      <c r="B43" s="249" t="s">
        <v>278</v>
      </c>
      <c r="C43" s="278">
        <f>C$41/(1+$C$34/100)^C37</f>
        <v>-111888665</v>
      </c>
      <c r="D43" s="278">
        <f>D$41/(1+$C$34/100)^D37</f>
        <v>41136193.734088123</v>
      </c>
      <c r="E43" s="278">
        <f>IF(E$46&lt;=$C$22,E$41/(1+$C$34/100)^E37,0)</f>
        <v>44171683.80792135</v>
      </c>
      <c r="F43" s="278">
        <f>IF(F$46&lt;=$C$22,F$41/(1+$C$34/100)^F37,0)</f>
        <v>47355590.694202475</v>
      </c>
      <c r="G43" s="278">
        <f t="shared" ref="G43:W43" si="5">IF(G$46&lt;=$C$22,G$41/(1+$C$34/100)^G37,0)</f>
        <v>50695211.310504094</v>
      </c>
      <c r="H43" s="278">
        <f t="shared" si="5"/>
        <v>54198201.295248792</v>
      </c>
      <c r="I43" s="278">
        <f t="shared" si="5"/>
        <v>0</v>
      </c>
      <c r="J43" s="278">
        <f t="shared" si="5"/>
        <v>0</v>
      </c>
      <c r="K43" s="278">
        <f t="shared" si="5"/>
        <v>0</v>
      </c>
      <c r="L43" s="278">
        <f t="shared" si="5"/>
        <v>0</v>
      </c>
      <c r="M43" s="278">
        <f t="shared" si="5"/>
        <v>0</v>
      </c>
      <c r="N43" s="278">
        <f t="shared" si="5"/>
        <v>0</v>
      </c>
      <c r="O43" s="278">
        <f t="shared" si="5"/>
        <v>0</v>
      </c>
      <c r="P43" s="278">
        <f t="shared" si="5"/>
        <v>0</v>
      </c>
      <c r="Q43" s="278">
        <f t="shared" si="5"/>
        <v>0</v>
      </c>
      <c r="R43" s="278">
        <f t="shared" si="5"/>
        <v>0</v>
      </c>
      <c r="S43" s="278">
        <f t="shared" si="5"/>
        <v>0</v>
      </c>
      <c r="T43" s="278">
        <f t="shared" si="5"/>
        <v>0</v>
      </c>
      <c r="U43" s="278">
        <f t="shared" si="5"/>
        <v>0</v>
      </c>
      <c r="V43" s="278">
        <f t="shared" si="5"/>
        <v>0</v>
      </c>
      <c r="W43" s="278">
        <f t="shared" si="5"/>
        <v>0</v>
      </c>
    </row>
    <row r="44" spans="1:23" ht="14.25">
      <c r="B44" s="249" t="s">
        <v>279</v>
      </c>
      <c r="C44" s="278">
        <f>+C43</f>
        <v>-111888665</v>
      </c>
      <c r="D44" s="278">
        <f>+C44+D43</f>
        <v>-70752471.265911877</v>
      </c>
      <c r="E44" s="278">
        <f>IF(E$46&lt;=$C$22,+E43+D44,"")</f>
        <v>-26580787.457990527</v>
      </c>
      <c r="F44" s="278">
        <f t="shared" ref="F44:T44" si="6">IF(F$46&lt;=$C$22,+F43+E44,"")</f>
        <v>20774803.236211948</v>
      </c>
      <c r="G44" s="278">
        <f t="shared" si="6"/>
        <v>71470014.546716034</v>
      </c>
      <c r="H44" s="278">
        <f t="shared" si="6"/>
        <v>125668215.84196483</v>
      </c>
      <c r="I44" s="278" t="str">
        <f t="shared" si="6"/>
        <v/>
      </c>
      <c r="J44" s="278" t="str">
        <f t="shared" si="6"/>
        <v/>
      </c>
      <c r="K44" s="278" t="str">
        <f t="shared" si="6"/>
        <v/>
      </c>
      <c r="L44" s="278" t="str">
        <f t="shared" si="6"/>
        <v/>
      </c>
      <c r="M44" s="278" t="str">
        <f t="shared" si="6"/>
        <v/>
      </c>
      <c r="N44" s="278" t="str">
        <f t="shared" si="6"/>
        <v/>
      </c>
      <c r="O44" s="278" t="str">
        <f t="shared" si="6"/>
        <v/>
      </c>
      <c r="P44" s="278" t="str">
        <f t="shared" si="6"/>
        <v/>
      </c>
      <c r="Q44" s="278" t="str">
        <f t="shared" si="6"/>
        <v/>
      </c>
      <c r="R44" s="278" t="str">
        <f t="shared" si="6"/>
        <v/>
      </c>
      <c r="S44" s="278" t="str">
        <f t="shared" si="6"/>
        <v/>
      </c>
      <c r="T44" s="278" t="str">
        <f t="shared" si="6"/>
        <v/>
      </c>
      <c r="U44" s="278">
        <f t="shared" ref="U44:W44" si="7">IF(U$46&lt;=$C$22,+U43+T44,0)</f>
        <v>0</v>
      </c>
      <c r="V44" s="278">
        <f t="shared" si="7"/>
        <v>0</v>
      </c>
      <c r="W44" s="278">
        <f t="shared" si="7"/>
        <v>0</v>
      </c>
    </row>
    <row r="45" spans="1:23" ht="13.5" thickBot="1">
      <c r="I45" s="250"/>
    </row>
    <row r="46" spans="1:23" ht="15.75" thickBot="1">
      <c r="B46" s="251" t="s">
        <v>280</v>
      </c>
      <c r="C46" s="252">
        <v>0</v>
      </c>
      <c r="D46" s="252">
        <v>1</v>
      </c>
      <c r="E46" s="252">
        <v>2</v>
      </c>
      <c r="F46" s="252">
        <v>3</v>
      </c>
      <c r="G46" s="252">
        <v>4</v>
      </c>
      <c r="H46" s="252">
        <v>5</v>
      </c>
      <c r="I46" s="252">
        <v>6</v>
      </c>
      <c r="J46" s="252">
        <v>7</v>
      </c>
      <c r="K46" s="252">
        <v>8</v>
      </c>
      <c r="L46" s="252">
        <v>9</v>
      </c>
      <c r="M46" s="252">
        <v>10</v>
      </c>
      <c r="N46" s="253">
        <v>11</v>
      </c>
      <c r="O46" s="244">
        <v>12</v>
      </c>
      <c r="P46" s="244">
        <v>13</v>
      </c>
      <c r="Q46" s="244">
        <v>14</v>
      </c>
      <c r="R46" s="244">
        <v>15</v>
      </c>
      <c r="S46" s="244">
        <v>16</v>
      </c>
      <c r="T46" s="244">
        <v>17</v>
      </c>
      <c r="U46" s="244">
        <v>18</v>
      </c>
      <c r="V46" s="244">
        <v>19</v>
      </c>
      <c r="W46" s="244">
        <v>20</v>
      </c>
    </row>
    <row r="47" spans="1:23" ht="13.5" thickBot="1">
      <c r="B47" s="245" t="s">
        <v>281</v>
      </c>
      <c r="C47" s="281">
        <f>C48*C49+C50*C51+C56*C57+C58</f>
        <v>0</v>
      </c>
      <c r="D47" s="281">
        <f>D48*D49+D50*D51+D52*D53+D54*D55+D56*D57+D58</f>
        <v>61681567.141320005</v>
      </c>
      <c r="E47" s="281">
        <f>IF(E$46&lt;=$C$22,E48*E49+E50*E51+E52*E53+E54*E55+E56*E57+E58,0)</f>
        <v>64765645.498386011</v>
      </c>
      <c r="F47" s="281">
        <f t="shared" ref="F47:W47" si="8">IF(F$46&lt;=$C$22,F48*F49+F50*F51+F52*F53+F54*F55+F56*F57+F58,0)</f>
        <v>68003927.773305312</v>
      </c>
      <c r="G47" s="281">
        <f t="shared" si="8"/>
        <v>71404124.161970586</v>
      </c>
      <c r="H47" s="281">
        <f t="shared" si="8"/>
        <v>74974330.370069116</v>
      </c>
      <c r="I47" s="281">
        <f t="shared" si="8"/>
        <v>0</v>
      </c>
      <c r="J47" s="281">
        <f t="shared" si="8"/>
        <v>0</v>
      </c>
      <c r="K47" s="281">
        <f t="shared" si="8"/>
        <v>0</v>
      </c>
      <c r="L47" s="281">
        <f t="shared" si="8"/>
        <v>0</v>
      </c>
      <c r="M47" s="281">
        <f t="shared" si="8"/>
        <v>0</v>
      </c>
      <c r="N47" s="281">
        <f t="shared" si="8"/>
        <v>0</v>
      </c>
      <c r="O47" s="281">
        <f t="shared" si="8"/>
        <v>0</v>
      </c>
      <c r="P47" s="281">
        <f t="shared" si="8"/>
        <v>0</v>
      </c>
      <c r="Q47" s="281">
        <f t="shared" si="8"/>
        <v>0</v>
      </c>
      <c r="R47" s="281">
        <f t="shared" si="8"/>
        <v>0</v>
      </c>
      <c r="S47" s="281">
        <f t="shared" si="8"/>
        <v>0</v>
      </c>
      <c r="T47" s="281">
        <f t="shared" si="8"/>
        <v>0</v>
      </c>
      <c r="U47" s="281">
        <f t="shared" si="8"/>
        <v>0</v>
      </c>
      <c r="V47" s="281">
        <f t="shared" si="8"/>
        <v>0</v>
      </c>
      <c r="W47" s="281">
        <f t="shared" si="8"/>
        <v>0</v>
      </c>
    </row>
    <row r="48" spans="1:23">
      <c r="A48" s="474" t="s">
        <v>2</v>
      </c>
      <c r="B48" s="256" t="str">
        <f>"Ahorros ("&amp;D27&amp;")"</f>
        <v>Ahorros (kWh)</v>
      </c>
      <c r="C48" s="282"/>
      <c r="D48" s="254">
        <f>IF(D46&gt;$C$22,0,$C$27)</f>
        <v>98168</v>
      </c>
      <c r="E48" s="254">
        <f>IF(E$46&lt;=$C$22,IF(E46&gt;$C$22,0,$C$27),0)</f>
        <v>98168</v>
      </c>
      <c r="F48" s="254">
        <f t="shared" ref="F48:W48" si="9">IF(F$46&lt;=$C$22,IF(F46&gt;$C$22,0,$C$27),0)</f>
        <v>98168</v>
      </c>
      <c r="G48" s="254">
        <f t="shared" si="9"/>
        <v>98168</v>
      </c>
      <c r="H48" s="254">
        <f t="shared" si="9"/>
        <v>98168</v>
      </c>
      <c r="I48" s="254">
        <f t="shared" si="9"/>
        <v>0</v>
      </c>
      <c r="J48" s="254">
        <f t="shared" si="9"/>
        <v>0</v>
      </c>
      <c r="K48" s="254">
        <f t="shared" si="9"/>
        <v>0</v>
      </c>
      <c r="L48" s="254">
        <f t="shared" si="9"/>
        <v>0</v>
      </c>
      <c r="M48" s="254">
        <f t="shared" si="9"/>
        <v>0</v>
      </c>
      <c r="N48" s="254">
        <f t="shared" si="9"/>
        <v>0</v>
      </c>
      <c r="O48" s="254">
        <f t="shared" si="9"/>
        <v>0</v>
      </c>
      <c r="P48" s="254">
        <f t="shared" si="9"/>
        <v>0</v>
      </c>
      <c r="Q48" s="254">
        <f t="shared" si="9"/>
        <v>0</v>
      </c>
      <c r="R48" s="254">
        <f t="shared" si="9"/>
        <v>0</v>
      </c>
      <c r="S48" s="254">
        <f t="shared" si="9"/>
        <v>0</v>
      </c>
      <c r="T48" s="254">
        <f t="shared" si="9"/>
        <v>0</v>
      </c>
      <c r="U48" s="254">
        <f t="shared" si="9"/>
        <v>0</v>
      </c>
      <c r="V48" s="254">
        <f t="shared" si="9"/>
        <v>0</v>
      </c>
      <c r="W48" s="254">
        <f t="shared" si="9"/>
        <v>0</v>
      </c>
    </row>
    <row r="49" spans="1:23" ht="13.5" thickBot="1">
      <c r="A49" s="475"/>
      <c r="B49" s="256" t="str">
        <f>"Tarifa (COP/"&amp;D27&amp;")"</f>
        <v>Tarifa (COP/kWh)</v>
      </c>
      <c r="C49" s="282"/>
      <c r="D49" s="281">
        <f>+D70</f>
        <v>628.32661500000006</v>
      </c>
      <c r="E49" s="281">
        <f>IF(E$46&lt;=$C$22,+E70,0)</f>
        <v>659.7429457500001</v>
      </c>
      <c r="F49" s="281">
        <f t="shared" ref="F49:W49" si="10">IF(F$46&lt;=$C$22,+F70,0)</f>
        <v>692.73009303750018</v>
      </c>
      <c r="G49" s="281">
        <f t="shared" si="10"/>
        <v>727.36659768937523</v>
      </c>
      <c r="H49" s="281">
        <f t="shared" si="10"/>
        <v>763.73492757384406</v>
      </c>
      <c r="I49" s="281">
        <f t="shared" si="10"/>
        <v>0</v>
      </c>
      <c r="J49" s="281">
        <f t="shared" si="10"/>
        <v>0</v>
      </c>
      <c r="K49" s="281">
        <f t="shared" si="10"/>
        <v>0</v>
      </c>
      <c r="L49" s="281">
        <f t="shared" si="10"/>
        <v>0</v>
      </c>
      <c r="M49" s="281">
        <f t="shared" si="10"/>
        <v>0</v>
      </c>
      <c r="N49" s="281">
        <f t="shared" si="10"/>
        <v>0</v>
      </c>
      <c r="O49" s="281">
        <f t="shared" si="10"/>
        <v>0</v>
      </c>
      <c r="P49" s="281">
        <f t="shared" si="10"/>
        <v>0</v>
      </c>
      <c r="Q49" s="281">
        <f t="shared" si="10"/>
        <v>0</v>
      </c>
      <c r="R49" s="281">
        <f t="shared" si="10"/>
        <v>0</v>
      </c>
      <c r="S49" s="281">
        <f t="shared" si="10"/>
        <v>0</v>
      </c>
      <c r="T49" s="281">
        <f t="shared" si="10"/>
        <v>0</v>
      </c>
      <c r="U49" s="281">
        <f t="shared" si="10"/>
        <v>0</v>
      </c>
      <c r="V49" s="281">
        <f t="shared" si="10"/>
        <v>0</v>
      </c>
      <c r="W49" s="281">
        <f t="shared" si="10"/>
        <v>0</v>
      </c>
    </row>
    <row r="50" spans="1:23">
      <c r="A50" s="474" t="s">
        <v>12</v>
      </c>
      <c r="B50" s="256" t="str">
        <f>"Ahorro ("&amp;D28&amp;")"</f>
        <v>Ahorro (m3)</v>
      </c>
      <c r="C50" s="282"/>
      <c r="D50" s="254">
        <f>IF(D46&gt;$C$22,0,$C$28)</f>
        <v>0</v>
      </c>
      <c r="E50" s="254">
        <f>IF(E$46&lt;=$C$22,IF(E46&gt;$C$22,0,$C$28),0)</f>
        <v>0</v>
      </c>
      <c r="F50" s="254">
        <f t="shared" ref="F50:W50" si="11">IF(F$46&lt;=$C$22,IF(F46&gt;$C$22,0,$C$28),0)</f>
        <v>0</v>
      </c>
      <c r="G50" s="254">
        <f t="shared" si="11"/>
        <v>0</v>
      </c>
      <c r="H50" s="254">
        <f t="shared" si="11"/>
        <v>0</v>
      </c>
      <c r="I50" s="254">
        <f t="shared" si="11"/>
        <v>0</v>
      </c>
      <c r="J50" s="254">
        <f t="shared" si="11"/>
        <v>0</v>
      </c>
      <c r="K50" s="254">
        <f t="shared" si="11"/>
        <v>0</v>
      </c>
      <c r="L50" s="254">
        <f t="shared" si="11"/>
        <v>0</v>
      </c>
      <c r="M50" s="254">
        <f t="shared" si="11"/>
        <v>0</v>
      </c>
      <c r="N50" s="254">
        <f t="shared" si="11"/>
        <v>0</v>
      </c>
      <c r="O50" s="254">
        <f t="shared" si="11"/>
        <v>0</v>
      </c>
      <c r="P50" s="254">
        <f t="shared" si="11"/>
        <v>0</v>
      </c>
      <c r="Q50" s="254">
        <f t="shared" si="11"/>
        <v>0</v>
      </c>
      <c r="R50" s="254">
        <f t="shared" si="11"/>
        <v>0</v>
      </c>
      <c r="S50" s="254">
        <f t="shared" si="11"/>
        <v>0</v>
      </c>
      <c r="T50" s="254">
        <f t="shared" si="11"/>
        <v>0</v>
      </c>
      <c r="U50" s="254">
        <f t="shared" si="11"/>
        <v>0</v>
      </c>
      <c r="V50" s="254">
        <f t="shared" si="11"/>
        <v>0</v>
      </c>
      <c r="W50" s="254">
        <f t="shared" si="11"/>
        <v>0</v>
      </c>
    </row>
    <row r="51" spans="1:23" ht="13.5" thickBot="1">
      <c r="A51" s="475"/>
      <c r="B51" s="256" t="str">
        <f>"Tarifa (COP/"&amp;D28&amp;")"</f>
        <v>Tarifa (COP/m3)</v>
      </c>
      <c r="C51" s="282"/>
      <c r="D51" s="281">
        <f>+D71</f>
        <v>2877.3135354831925</v>
      </c>
      <c r="E51" s="281">
        <f>IF(E$46&lt;=$C$22,E71,0)</f>
        <v>3021.1792122573524</v>
      </c>
      <c r="F51" s="281">
        <f t="shared" ref="F51:W51" si="12">IF(F$46&lt;=$C$22,F71,0)</f>
        <v>3172.2381728702203</v>
      </c>
      <c r="G51" s="281">
        <f t="shared" si="12"/>
        <v>3330.8500815137313</v>
      </c>
      <c r="H51" s="281">
        <f t="shared" si="12"/>
        <v>3497.3925855894181</v>
      </c>
      <c r="I51" s="281">
        <f t="shared" si="12"/>
        <v>0</v>
      </c>
      <c r="J51" s="281">
        <f t="shared" si="12"/>
        <v>0</v>
      </c>
      <c r="K51" s="281">
        <f t="shared" si="12"/>
        <v>0</v>
      </c>
      <c r="L51" s="281">
        <f t="shared" si="12"/>
        <v>0</v>
      </c>
      <c r="M51" s="281">
        <f t="shared" si="12"/>
        <v>0</v>
      </c>
      <c r="N51" s="281">
        <f t="shared" si="12"/>
        <v>0</v>
      </c>
      <c r="O51" s="281">
        <f t="shared" si="12"/>
        <v>0</v>
      </c>
      <c r="P51" s="281">
        <f t="shared" si="12"/>
        <v>0</v>
      </c>
      <c r="Q51" s="281">
        <f t="shared" si="12"/>
        <v>0</v>
      </c>
      <c r="R51" s="281">
        <f t="shared" si="12"/>
        <v>0</v>
      </c>
      <c r="S51" s="281">
        <f t="shared" si="12"/>
        <v>0</v>
      </c>
      <c r="T51" s="281">
        <f t="shared" si="12"/>
        <v>0</v>
      </c>
      <c r="U51" s="281">
        <f t="shared" si="12"/>
        <v>0</v>
      </c>
      <c r="V51" s="281">
        <f t="shared" si="12"/>
        <v>0</v>
      </c>
      <c r="W51" s="281">
        <f t="shared" si="12"/>
        <v>0</v>
      </c>
    </row>
    <row r="52" spans="1:23">
      <c r="A52" s="474" t="s">
        <v>4</v>
      </c>
      <c r="B52" s="256" t="str">
        <f>"Ahorro ("&amp;D29&amp;")"</f>
        <v>Ahorro (Gal)</v>
      </c>
      <c r="C52" s="282"/>
      <c r="D52" s="254">
        <f>IF(D48&gt;$C$22,0,$C$29)</f>
        <v>0</v>
      </c>
      <c r="E52" s="254">
        <f>IF(E$46&lt;=$C$22,IF(E48&gt;$C$22,0,$C$29),0)</f>
        <v>0</v>
      </c>
      <c r="F52" s="254">
        <f t="shared" ref="F52:W52" si="13">IF(F$46&lt;=$C$22,IF(F48&gt;$C$22,0,$C$29),0)</f>
        <v>0</v>
      </c>
      <c r="G52" s="254">
        <f t="shared" si="13"/>
        <v>0</v>
      </c>
      <c r="H52" s="254">
        <f t="shared" si="13"/>
        <v>0</v>
      </c>
      <c r="I52" s="254">
        <f t="shared" si="13"/>
        <v>0</v>
      </c>
      <c r="J52" s="254">
        <f t="shared" si="13"/>
        <v>0</v>
      </c>
      <c r="K52" s="254">
        <f t="shared" si="13"/>
        <v>0</v>
      </c>
      <c r="L52" s="254">
        <f t="shared" si="13"/>
        <v>0</v>
      </c>
      <c r="M52" s="254">
        <f t="shared" si="13"/>
        <v>0</v>
      </c>
      <c r="N52" s="254">
        <f t="shared" si="13"/>
        <v>0</v>
      </c>
      <c r="O52" s="254">
        <f t="shared" si="13"/>
        <v>0</v>
      </c>
      <c r="P52" s="254">
        <f t="shared" si="13"/>
        <v>0</v>
      </c>
      <c r="Q52" s="254">
        <f t="shared" si="13"/>
        <v>0</v>
      </c>
      <c r="R52" s="254">
        <f t="shared" si="13"/>
        <v>0</v>
      </c>
      <c r="S52" s="254">
        <f t="shared" si="13"/>
        <v>0</v>
      </c>
      <c r="T52" s="254">
        <f t="shared" si="13"/>
        <v>0</v>
      </c>
      <c r="U52" s="254">
        <f t="shared" si="13"/>
        <v>0</v>
      </c>
      <c r="V52" s="254">
        <f t="shared" si="13"/>
        <v>0</v>
      </c>
      <c r="W52" s="254">
        <f t="shared" si="13"/>
        <v>0</v>
      </c>
    </row>
    <row r="53" spans="1:23" ht="13.5" thickBot="1">
      <c r="A53" s="475"/>
      <c r="B53" s="256" t="str">
        <f>"Tarifa (COP/"&amp;D29&amp;")"</f>
        <v>Tarifa (COP/Gal)</v>
      </c>
      <c r="C53" s="282"/>
      <c r="D53" s="281">
        <f>+D72</f>
        <v>6549.9739969222646</v>
      </c>
      <c r="E53" s="281">
        <f>IF(E$46&lt;=$C$22,+E72,0)</f>
        <v>6877.4726967683782</v>
      </c>
      <c r="F53" s="281">
        <f t="shared" ref="F53:W53" si="14">IF(F$46&lt;=$C$22,+F72,0)</f>
        <v>7221.3463316067973</v>
      </c>
      <c r="G53" s="281">
        <f t="shared" si="14"/>
        <v>7582.4136481871374</v>
      </c>
      <c r="H53" s="281">
        <f t="shared" si="14"/>
        <v>7961.5343305964943</v>
      </c>
      <c r="I53" s="281">
        <f t="shared" si="14"/>
        <v>0</v>
      </c>
      <c r="J53" s="281">
        <f t="shared" si="14"/>
        <v>0</v>
      </c>
      <c r="K53" s="281">
        <f t="shared" si="14"/>
        <v>0</v>
      </c>
      <c r="L53" s="281">
        <f t="shared" si="14"/>
        <v>0</v>
      </c>
      <c r="M53" s="281">
        <f t="shared" si="14"/>
        <v>0</v>
      </c>
      <c r="N53" s="281">
        <f t="shared" si="14"/>
        <v>0</v>
      </c>
      <c r="O53" s="281">
        <f t="shared" si="14"/>
        <v>0</v>
      </c>
      <c r="P53" s="281">
        <f t="shared" si="14"/>
        <v>0</v>
      </c>
      <c r="Q53" s="281">
        <f t="shared" si="14"/>
        <v>0</v>
      </c>
      <c r="R53" s="281">
        <f t="shared" si="14"/>
        <v>0</v>
      </c>
      <c r="S53" s="281">
        <f t="shared" si="14"/>
        <v>0</v>
      </c>
      <c r="T53" s="281">
        <f t="shared" si="14"/>
        <v>0</v>
      </c>
      <c r="U53" s="281">
        <f t="shared" si="14"/>
        <v>0</v>
      </c>
      <c r="V53" s="281">
        <f t="shared" si="14"/>
        <v>0</v>
      </c>
      <c r="W53" s="281">
        <f t="shared" si="14"/>
        <v>0</v>
      </c>
    </row>
    <row r="54" spans="1:23">
      <c r="A54" s="474" t="s">
        <v>17</v>
      </c>
      <c r="B54" s="256" t="str">
        <f>"Ahorro ("&amp;D30&amp;")"</f>
        <v>Ahorro (NA)</v>
      </c>
      <c r="C54" s="282"/>
      <c r="D54" s="254">
        <f>IF(D50&gt;$C$22,0,$C$30)</f>
        <v>0</v>
      </c>
      <c r="E54" s="254">
        <f>IF(E$46&lt;=$C$22,IF(E50&gt;$C$22,0,$C$30),0)</f>
        <v>0</v>
      </c>
      <c r="F54" s="254">
        <f t="shared" ref="F54:W54" si="15">IF(F$46&lt;=$C$22,IF(F50&gt;$C$22,0,$C$30),0)</f>
        <v>0</v>
      </c>
      <c r="G54" s="254">
        <f t="shared" si="15"/>
        <v>0</v>
      </c>
      <c r="H54" s="254">
        <f t="shared" si="15"/>
        <v>0</v>
      </c>
      <c r="I54" s="254">
        <f t="shared" si="15"/>
        <v>0</v>
      </c>
      <c r="J54" s="254">
        <f t="shared" si="15"/>
        <v>0</v>
      </c>
      <c r="K54" s="254">
        <f t="shared" si="15"/>
        <v>0</v>
      </c>
      <c r="L54" s="254">
        <f t="shared" si="15"/>
        <v>0</v>
      </c>
      <c r="M54" s="254">
        <f t="shared" si="15"/>
        <v>0</v>
      </c>
      <c r="N54" s="254">
        <f t="shared" si="15"/>
        <v>0</v>
      </c>
      <c r="O54" s="254">
        <f t="shared" si="15"/>
        <v>0</v>
      </c>
      <c r="P54" s="254">
        <f t="shared" si="15"/>
        <v>0</v>
      </c>
      <c r="Q54" s="254">
        <f t="shared" si="15"/>
        <v>0</v>
      </c>
      <c r="R54" s="254">
        <f t="shared" si="15"/>
        <v>0</v>
      </c>
      <c r="S54" s="254">
        <f t="shared" si="15"/>
        <v>0</v>
      </c>
      <c r="T54" s="254">
        <f t="shared" si="15"/>
        <v>0</v>
      </c>
      <c r="U54" s="254">
        <f t="shared" si="15"/>
        <v>0</v>
      </c>
      <c r="V54" s="254">
        <f t="shared" si="15"/>
        <v>0</v>
      </c>
      <c r="W54" s="254">
        <f t="shared" si="15"/>
        <v>0</v>
      </c>
    </row>
    <row r="55" spans="1:23" ht="13.5" thickBot="1">
      <c r="A55" s="475"/>
      <c r="B55" s="256" t="str">
        <f>"Tarifa (COP/"&amp;D31&amp;")"</f>
        <v>Tarifa (COP/m3)</v>
      </c>
      <c r="C55" s="282"/>
      <c r="D55" s="281">
        <f>+D73</f>
        <v>0</v>
      </c>
      <c r="E55" s="281">
        <f>IF(E$46&lt;=$C$22,E73,0)</f>
        <v>0</v>
      </c>
      <c r="F55" s="281">
        <f t="shared" ref="F55:W55" si="16">IF(F$46&lt;=$C$22,F73,0)</f>
        <v>0</v>
      </c>
      <c r="G55" s="281">
        <f t="shared" si="16"/>
        <v>0</v>
      </c>
      <c r="H55" s="281">
        <f t="shared" si="16"/>
        <v>0</v>
      </c>
      <c r="I55" s="281">
        <f t="shared" si="16"/>
        <v>0</v>
      </c>
      <c r="J55" s="281">
        <f t="shared" si="16"/>
        <v>0</v>
      </c>
      <c r="K55" s="281">
        <f t="shared" si="16"/>
        <v>0</v>
      </c>
      <c r="L55" s="281">
        <f t="shared" si="16"/>
        <v>0</v>
      </c>
      <c r="M55" s="281">
        <f t="shared" si="16"/>
        <v>0</v>
      </c>
      <c r="N55" s="281">
        <f t="shared" si="16"/>
        <v>0</v>
      </c>
      <c r="O55" s="281">
        <f t="shared" si="16"/>
        <v>0</v>
      </c>
      <c r="P55" s="281">
        <f t="shared" si="16"/>
        <v>0</v>
      </c>
      <c r="Q55" s="281">
        <f t="shared" si="16"/>
        <v>0</v>
      </c>
      <c r="R55" s="281">
        <f t="shared" si="16"/>
        <v>0</v>
      </c>
      <c r="S55" s="281">
        <f t="shared" si="16"/>
        <v>0</v>
      </c>
      <c r="T55" s="281">
        <f t="shared" si="16"/>
        <v>0</v>
      </c>
      <c r="U55" s="281">
        <f t="shared" si="16"/>
        <v>0</v>
      </c>
      <c r="V55" s="281">
        <f t="shared" si="16"/>
        <v>0</v>
      </c>
      <c r="W55" s="281">
        <f t="shared" si="16"/>
        <v>0</v>
      </c>
    </row>
    <row r="56" spans="1:23">
      <c r="A56" s="474" t="s">
        <v>24</v>
      </c>
      <c r="B56" s="256" t="str">
        <f>"Ahorro ("&amp;D31&amp;")"</f>
        <v>Ahorro (m3)</v>
      </c>
      <c r="C56" s="282"/>
      <c r="D56" s="254">
        <f>IF(D46&gt;$C$22,0,$C$31)</f>
        <v>0</v>
      </c>
      <c r="E56" s="254">
        <f>IF(E$46&lt;=$C$22,IF(E46&gt;$C$22,0,$C$31),0)</f>
        <v>0</v>
      </c>
      <c r="F56" s="254">
        <f t="shared" ref="F56:W56" si="17">IF(F$46&lt;=$C$22,IF(F46&gt;$C$22,0,$C$31),0)</f>
        <v>0</v>
      </c>
      <c r="G56" s="254">
        <f t="shared" si="17"/>
        <v>0</v>
      </c>
      <c r="H56" s="254">
        <f t="shared" si="17"/>
        <v>0</v>
      </c>
      <c r="I56" s="254">
        <f t="shared" si="17"/>
        <v>0</v>
      </c>
      <c r="J56" s="254">
        <f t="shared" si="17"/>
        <v>0</v>
      </c>
      <c r="K56" s="254">
        <f t="shared" si="17"/>
        <v>0</v>
      </c>
      <c r="L56" s="254">
        <f t="shared" si="17"/>
        <v>0</v>
      </c>
      <c r="M56" s="254">
        <f t="shared" si="17"/>
        <v>0</v>
      </c>
      <c r="N56" s="254">
        <f t="shared" si="17"/>
        <v>0</v>
      </c>
      <c r="O56" s="254">
        <f t="shared" si="17"/>
        <v>0</v>
      </c>
      <c r="P56" s="254">
        <f t="shared" si="17"/>
        <v>0</v>
      </c>
      <c r="Q56" s="254">
        <f t="shared" si="17"/>
        <v>0</v>
      </c>
      <c r="R56" s="254">
        <f t="shared" si="17"/>
        <v>0</v>
      </c>
      <c r="S56" s="254">
        <f t="shared" si="17"/>
        <v>0</v>
      </c>
      <c r="T56" s="254">
        <f t="shared" si="17"/>
        <v>0</v>
      </c>
      <c r="U56" s="254">
        <f t="shared" si="17"/>
        <v>0</v>
      </c>
      <c r="V56" s="254">
        <f t="shared" si="17"/>
        <v>0</v>
      </c>
      <c r="W56" s="254">
        <f t="shared" si="17"/>
        <v>0</v>
      </c>
    </row>
    <row r="57" spans="1:23" ht="13.5" thickBot="1">
      <c r="A57" s="475"/>
      <c r="B57" s="256" t="str">
        <f>"Tarifa (COP/"&amp;D31&amp;")"</f>
        <v>Tarifa (COP/m3)</v>
      </c>
      <c r="C57" s="282"/>
      <c r="D57" s="281">
        <f>+D74</f>
        <v>0</v>
      </c>
      <c r="E57" s="281">
        <f>IF(E$46&lt;=$C$22,+E74,0)</f>
        <v>0</v>
      </c>
      <c r="F57" s="281">
        <f t="shared" ref="F57:W57" si="18">IF(F$46&lt;=$C$22,+F74,0)</f>
        <v>0</v>
      </c>
      <c r="G57" s="281">
        <f t="shared" si="18"/>
        <v>0</v>
      </c>
      <c r="H57" s="281">
        <f t="shared" si="18"/>
        <v>0</v>
      </c>
      <c r="I57" s="281">
        <f t="shared" si="18"/>
        <v>0</v>
      </c>
      <c r="J57" s="281">
        <f t="shared" si="18"/>
        <v>0</v>
      </c>
      <c r="K57" s="281">
        <f t="shared" si="18"/>
        <v>0</v>
      </c>
      <c r="L57" s="281">
        <f t="shared" si="18"/>
        <v>0</v>
      </c>
      <c r="M57" s="281">
        <f t="shared" si="18"/>
        <v>0</v>
      </c>
      <c r="N57" s="281">
        <f t="shared" si="18"/>
        <v>0</v>
      </c>
      <c r="O57" s="281">
        <f t="shared" si="18"/>
        <v>0</v>
      </c>
      <c r="P57" s="281">
        <f t="shared" si="18"/>
        <v>0</v>
      </c>
      <c r="Q57" s="281">
        <f t="shared" si="18"/>
        <v>0</v>
      </c>
      <c r="R57" s="281">
        <f t="shared" si="18"/>
        <v>0</v>
      </c>
      <c r="S57" s="281">
        <f t="shared" si="18"/>
        <v>0</v>
      </c>
      <c r="T57" s="281">
        <f t="shared" si="18"/>
        <v>0</v>
      </c>
      <c r="U57" s="281">
        <f t="shared" si="18"/>
        <v>0</v>
      </c>
      <c r="V57" s="281">
        <f t="shared" si="18"/>
        <v>0</v>
      </c>
      <c r="W57" s="281">
        <f t="shared" si="18"/>
        <v>0</v>
      </c>
    </row>
    <row r="58" spans="1:23">
      <c r="A58" s="255" t="s">
        <v>6</v>
      </c>
      <c r="B58" s="256" t="str">
        <f>"Ahorro ("&amp;D32&amp;")"</f>
        <v>Ahorro (COP)</v>
      </c>
      <c r="C58" s="282"/>
      <c r="D58" s="281">
        <f>+C32</f>
        <v>0</v>
      </c>
      <c r="E58" s="281">
        <f>IF(E$46&lt;=$C$22,IF(E46&gt;$C$22,0,$C$32*(1+Mantenimiento!E9)),0)</f>
        <v>0</v>
      </c>
      <c r="F58" s="281">
        <f>IF(F$46&lt;=$C$22,IF(F46&gt;$C$22,0,$C$32*(1+Mantenimiento!F9)),0)</f>
        <v>0</v>
      </c>
      <c r="G58" s="281">
        <f>IF(G$46&lt;=$C$22,IF(G46&gt;$C$22,0,$C$32*(1+Mantenimiento!G9)),0)</f>
        <v>0</v>
      </c>
      <c r="H58" s="281">
        <f>IF(H$46&lt;=$C$22,IF(H46&gt;$C$22,0,$C$32*(1+Mantenimiento!H9)),0)</f>
        <v>0</v>
      </c>
      <c r="I58" s="281">
        <f>IF(I$46&lt;=$C$22,IF(I46&gt;$C$22,0,$C$32*(1+Mantenimiento!I9)),0)</f>
        <v>0</v>
      </c>
      <c r="J58" s="281">
        <f>IF(J$46&lt;=$C$22,IF(J46&gt;$C$22,0,$C$32*(1+Mantenimiento!J9)),0)</f>
        <v>0</v>
      </c>
      <c r="K58" s="281">
        <f>IF(K$46&lt;=$C$22,IF(K46&gt;$C$22,0,$C$32*(1+Mantenimiento!K9)),0)</f>
        <v>0</v>
      </c>
      <c r="L58" s="281">
        <f>IF(L$46&lt;=$C$22,IF(L46&gt;$C$22,0,$C$32*(1+Mantenimiento!L9)),0)</f>
        <v>0</v>
      </c>
      <c r="M58" s="281">
        <f>IF(M$46&lt;=$C$22,IF(M46&gt;$C$22,0,$C$32*(1+Mantenimiento!M9)),0)</f>
        <v>0</v>
      </c>
      <c r="N58" s="281">
        <f>IF(N$46&lt;=$C$22,IF(N46&gt;$C$22,0,$C$32*(1+Mantenimiento!N9)),0)</f>
        <v>0</v>
      </c>
      <c r="O58" s="281">
        <f>IF(O$46&lt;=$C$22,IF(O46&gt;$C$22,0,$C$32*(1+Mantenimiento!O9)),0)</f>
        <v>0</v>
      </c>
      <c r="P58" s="281">
        <f>IF(P$46&lt;=$C$22,IF(P46&gt;$C$22,0,$C$32*(1+Mantenimiento!P9)),0)</f>
        <v>0</v>
      </c>
      <c r="Q58" s="281">
        <f>IF(Q$46&lt;=$C$22,IF(Q46&gt;$C$22,0,$C$32*(1+Mantenimiento!Q9)),0)</f>
        <v>0</v>
      </c>
      <c r="R58" s="281">
        <f>IF(R$46&lt;=$C$22,IF(R46&gt;$C$22,0,$C$32*(1+Mantenimiento!R9)),0)</f>
        <v>0</v>
      </c>
      <c r="S58" s="281">
        <f>IF(S$46&lt;=$C$22,IF(S46&gt;$C$22,0,$C$32*(1+Mantenimiento!S9)),0)</f>
        <v>0</v>
      </c>
      <c r="T58" s="281">
        <f>IF(T$46&lt;=$C$22,IF(T46&gt;$C$22,0,$C$32*(1+Mantenimiento!T9)),0)</f>
        <v>0</v>
      </c>
      <c r="U58" s="281">
        <f>IF(U$46&lt;=$C$22,IF(U46&gt;$C$22,0,$C$32*(1+Mantenimiento!U9)),0)</f>
        <v>0</v>
      </c>
      <c r="V58" s="281">
        <f>IF(V$46&lt;=$C$22,IF(V46&gt;$C$22,0,$C$32*(1+Mantenimiento!V9)),0)</f>
        <v>0</v>
      </c>
      <c r="W58" s="281">
        <f>IF(W$46&lt;=$C$22,IF(W46&gt;$C$22,0,$C$32*(1+Mantenimiento!W9)),0)</f>
        <v>0</v>
      </c>
    </row>
    <row r="59" spans="1:23">
      <c r="B59" s="245" t="s">
        <v>305</v>
      </c>
      <c r="C59" s="281">
        <f>(1000000+700000)*12</f>
        <v>20400000</v>
      </c>
      <c r="D59" s="281">
        <f t="shared" ref="D59:H59" si="19">(1000000+700000)*12</f>
        <v>20400000</v>
      </c>
      <c r="E59" s="281">
        <f t="shared" si="19"/>
        <v>20400000</v>
      </c>
      <c r="F59" s="281">
        <f t="shared" si="19"/>
        <v>20400000</v>
      </c>
      <c r="G59" s="281">
        <f t="shared" si="19"/>
        <v>20400000</v>
      </c>
      <c r="H59" s="281">
        <f t="shared" si="19"/>
        <v>20400000</v>
      </c>
      <c r="I59" s="281"/>
      <c r="J59" s="281"/>
      <c r="K59" s="281"/>
      <c r="L59" s="281"/>
      <c r="M59" s="281"/>
      <c r="N59" s="281"/>
      <c r="O59" s="281"/>
      <c r="P59" s="281"/>
      <c r="Q59" s="281"/>
      <c r="R59" s="281"/>
      <c r="S59" s="281"/>
      <c r="T59" s="281"/>
      <c r="U59" s="281"/>
      <c r="V59" s="281"/>
      <c r="W59" s="281"/>
    </row>
    <row r="60" spans="1:23">
      <c r="B60" s="259" t="s">
        <v>274</v>
      </c>
      <c r="C60" s="283">
        <f>C47-C59</f>
        <v>-20400000</v>
      </c>
      <c r="D60" s="283">
        <f>D47-D59</f>
        <v>41281567.141320005</v>
      </c>
      <c r="E60" s="283">
        <f>IF(E$46&lt;=$C$22,E47-E59,0)</f>
        <v>44365645.498386011</v>
      </c>
      <c r="F60" s="283">
        <f t="shared" ref="F60:W60" si="20">IF(F$46&lt;=$C$22,F47-F59,0)</f>
        <v>47603927.773305312</v>
      </c>
      <c r="G60" s="283">
        <f t="shared" si="20"/>
        <v>51004124.161970586</v>
      </c>
      <c r="H60" s="283">
        <f t="shared" si="20"/>
        <v>54574330.370069116</v>
      </c>
      <c r="I60" s="283">
        <f t="shared" si="20"/>
        <v>0</v>
      </c>
      <c r="J60" s="283">
        <f t="shared" si="20"/>
        <v>0</v>
      </c>
      <c r="K60" s="283">
        <f t="shared" si="20"/>
        <v>0</v>
      </c>
      <c r="L60" s="283">
        <f t="shared" si="20"/>
        <v>0</v>
      </c>
      <c r="M60" s="283">
        <f t="shared" si="20"/>
        <v>0</v>
      </c>
      <c r="N60" s="283">
        <f t="shared" si="20"/>
        <v>0</v>
      </c>
      <c r="O60" s="283">
        <f t="shared" si="20"/>
        <v>0</v>
      </c>
      <c r="P60" s="283">
        <f t="shared" si="20"/>
        <v>0</v>
      </c>
      <c r="Q60" s="283">
        <f t="shared" si="20"/>
        <v>0</v>
      </c>
      <c r="R60" s="283">
        <f t="shared" si="20"/>
        <v>0</v>
      </c>
      <c r="S60" s="283">
        <f t="shared" si="20"/>
        <v>0</v>
      </c>
      <c r="T60" s="283">
        <f t="shared" si="20"/>
        <v>0</v>
      </c>
      <c r="U60" s="283">
        <f t="shared" si="20"/>
        <v>0</v>
      </c>
      <c r="V60" s="283">
        <f t="shared" si="20"/>
        <v>0</v>
      </c>
      <c r="W60" s="283">
        <f t="shared" si="20"/>
        <v>0</v>
      </c>
    </row>
    <row r="61" spans="1:23">
      <c r="B61" s="245" t="s">
        <v>282</v>
      </c>
      <c r="C61" s="281">
        <v>0</v>
      </c>
      <c r="D61" s="281">
        <f>IF(D46&gt;$C$23,0,$C$38/$C$23)</f>
        <v>-9148866.5</v>
      </c>
      <c r="E61" s="281">
        <f>IF(E$46&lt;=$C$22,IF(E46&gt;$C$23,0,$C$38/$C$23),0)</f>
        <v>-9148866.5</v>
      </c>
      <c r="F61" s="281">
        <f t="shared" ref="F61:W61" si="21">IF(F$46&lt;=$C$22,IF(F46&gt;$C$23,0,$C$38/$C$23),0)</f>
        <v>-9148866.5</v>
      </c>
      <c r="G61" s="281">
        <f t="shared" si="21"/>
        <v>-9148866.5</v>
      </c>
      <c r="H61" s="281">
        <f t="shared" si="21"/>
        <v>-9148866.5</v>
      </c>
      <c r="I61" s="281">
        <f t="shared" si="21"/>
        <v>0</v>
      </c>
      <c r="J61" s="281">
        <f t="shared" si="21"/>
        <v>0</v>
      </c>
      <c r="K61" s="281">
        <f t="shared" si="21"/>
        <v>0</v>
      </c>
      <c r="L61" s="281">
        <f t="shared" si="21"/>
        <v>0</v>
      </c>
      <c r="M61" s="281">
        <f t="shared" si="21"/>
        <v>0</v>
      </c>
      <c r="N61" s="281">
        <f t="shared" si="21"/>
        <v>0</v>
      </c>
      <c r="O61" s="281">
        <f t="shared" si="21"/>
        <v>0</v>
      </c>
      <c r="P61" s="281">
        <f t="shared" si="21"/>
        <v>0</v>
      </c>
      <c r="Q61" s="281">
        <f t="shared" si="21"/>
        <v>0</v>
      </c>
      <c r="R61" s="281">
        <f t="shared" si="21"/>
        <v>0</v>
      </c>
      <c r="S61" s="281">
        <f t="shared" si="21"/>
        <v>0</v>
      </c>
      <c r="T61" s="281">
        <f t="shared" si="21"/>
        <v>0</v>
      </c>
      <c r="U61" s="281">
        <f t="shared" si="21"/>
        <v>0</v>
      </c>
      <c r="V61" s="281">
        <f t="shared" si="21"/>
        <v>0</v>
      </c>
      <c r="W61" s="281">
        <f t="shared" si="21"/>
        <v>0</v>
      </c>
    </row>
    <row r="62" spans="1:23">
      <c r="B62" s="259" t="s">
        <v>283</v>
      </c>
      <c r="C62" s="283">
        <f>C60+C61</f>
        <v>-20400000</v>
      </c>
      <c r="D62" s="283">
        <f>D60+D61</f>
        <v>32132700.641320005</v>
      </c>
      <c r="E62" s="283">
        <f>IF(E$46&lt;=$C$22,E60+E61,0)</f>
        <v>35216778.998386011</v>
      </c>
      <c r="F62" s="283">
        <f t="shared" ref="F62:W62" si="22">IF(F$46&lt;=$C$22,F60+F61,0)</f>
        <v>38455061.273305312</v>
      </c>
      <c r="G62" s="283">
        <f t="shared" si="22"/>
        <v>41855257.661970586</v>
      </c>
      <c r="H62" s="283">
        <f t="shared" si="22"/>
        <v>45425463.870069116</v>
      </c>
      <c r="I62" s="283">
        <f t="shared" si="22"/>
        <v>0</v>
      </c>
      <c r="J62" s="283">
        <f t="shared" si="22"/>
        <v>0</v>
      </c>
      <c r="K62" s="283">
        <f t="shared" si="22"/>
        <v>0</v>
      </c>
      <c r="L62" s="283">
        <f t="shared" si="22"/>
        <v>0</v>
      </c>
      <c r="M62" s="283">
        <f t="shared" si="22"/>
        <v>0</v>
      </c>
      <c r="N62" s="283">
        <f t="shared" si="22"/>
        <v>0</v>
      </c>
      <c r="O62" s="283">
        <f t="shared" si="22"/>
        <v>0</v>
      </c>
      <c r="P62" s="283">
        <f t="shared" si="22"/>
        <v>0</v>
      </c>
      <c r="Q62" s="283">
        <f t="shared" si="22"/>
        <v>0</v>
      </c>
      <c r="R62" s="283">
        <f t="shared" si="22"/>
        <v>0</v>
      </c>
      <c r="S62" s="283">
        <f t="shared" si="22"/>
        <v>0</v>
      </c>
      <c r="T62" s="283">
        <f t="shared" si="22"/>
        <v>0</v>
      </c>
      <c r="U62" s="283">
        <f t="shared" si="22"/>
        <v>0</v>
      </c>
      <c r="V62" s="283">
        <f t="shared" si="22"/>
        <v>0</v>
      </c>
      <c r="W62" s="283">
        <f t="shared" si="22"/>
        <v>0</v>
      </c>
    </row>
    <row r="63" spans="1:23">
      <c r="B63" s="245" t="s">
        <v>275</v>
      </c>
      <c r="C63" s="281">
        <f>-IF(C69&gt;0,C62*$C$33/100,0)</f>
        <v>0</v>
      </c>
      <c r="D63" s="281">
        <f>-D62*$C$33/100</f>
        <v>-112464.45224462001</v>
      </c>
      <c r="E63" s="281">
        <f>IF(E$46&lt;=$C$22,-E62*$C$33/100,0)</f>
        <v>-123258.72649435102</v>
      </c>
      <c r="F63" s="281">
        <f t="shared" ref="F63:W63" si="23">IF(F$46&lt;=$C$22,-F62*$C$33/100,0)</f>
        <v>-134592.71445656859</v>
      </c>
      <c r="G63" s="281">
        <f t="shared" si="23"/>
        <v>-146493.40181689704</v>
      </c>
      <c r="H63" s="281">
        <f t="shared" si="23"/>
        <v>-158989.12354524189</v>
      </c>
      <c r="I63" s="281">
        <f t="shared" si="23"/>
        <v>0</v>
      </c>
      <c r="J63" s="281">
        <f t="shared" si="23"/>
        <v>0</v>
      </c>
      <c r="K63" s="281">
        <f t="shared" si="23"/>
        <v>0</v>
      </c>
      <c r="L63" s="281">
        <f t="shared" si="23"/>
        <v>0</v>
      </c>
      <c r="M63" s="281">
        <f t="shared" si="23"/>
        <v>0</v>
      </c>
      <c r="N63" s="281">
        <f t="shared" si="23"/>
        <v>0</v>
      </c>
      <c r="O63" s="281">
        <f t="shared" si="23"/>
        <v>0</v>
      </c>
      <c r="P63" s="281">
        <f t="shared" si="23"/>
        <v>0</v>
      </c>
      <c r="Q63" s="281">
        <f t="shared" si="23"/>
        <v>0</v>
      </c>
      <c r="R63" s="281">
        <f t="shared" si="23"/>
        <v>0</v>
      </c>
      <c r="S63" s="281">
        <f t="shared" si="23"/>
        <v>0</v>
      </c>
      <c r="T63" s="281">
        <f t="shared" si="23"/>
        <v>0</v>
      </c>
      <c r="U63" s="281">
        <f t="shared" si="23"/>
        <v>0</v>
      </c>
      <c r="V63" s="281">
        <f t="shared" si="23"/>
        <v>0</v>
      </c>
      <c r="W63" s="281">
        <f t="shared" si="23"/>
        <v>0</v>
      </c>
    </row>
    <row r="64" spans="1:23" ht="18" customHeight="1">
      <c r="B64" s="247" t="s">
        <v>284</v>
      </c>
      <c r="C64" s="284">
        <f>C62+C63</f>
        <v>-20400000</v>
      </c>
      <c r="D64" s="284">
        <f>D62+D63</f>
        <v>32020236.189075384</v>
      </c>
      <c r="E64" s="284">
        <f>IF(E$46&lt;=$C$22,E62+E63,0)</f>
        <v>35093520.271891661</v>
      </c>
      <c r="F64" s="284">
        <f t="shared" ref="F64:W64" si="24">IF(F$46&lt;=$C$22,F62+F63,0)</f>
        <v>38320468.558848746</v>
      </c>
      <c r="G64" s="284">
        <f t="shared" si="24"/>
        <v>41708764.260153688</v>
      </c>
      <c r="H64" s="284">
        <f t="shared" si="24"/>
        <v>45266474.746523872</v>
      </c>
      <c r="I64" s="284">
        <f t="shared" si="24"/>
        <v>0</v>
      </c>
      <c r="J64" s="284">
        <f t="shared" si="24"/>
        <v>0</v>
      </c>
      <c r="K64" s="284">
        <f t="shared" si="24"/>
        <v>0</v>
      </c>
      <c r="L64" s="284">
        <f t="shared" si="24"/>
        <v>0</v>
      </c>
      <c r="M64" s="284">
        <f t="shared" si="24"/>
        <v>0</v>
      </c>
      <c r="N64" s="284">
        <f t="shared" si="24"/>
        <v>0</v>
      </c>
      <c r="O64" s="284">
        <f t="shared" si="24"/>
        <v>0</v>
      </c>
      <c r="P64" s="284">
        <f t="shared" si="24"/>
        <v>0</v>
      </c>
      <c r="Q64" s="284">
        <f t="shared" si="24"/>
        <v>0</v>
      </c>
      <c r="R64" s="284">
        <f t="shared" si="24"/>
        <v>0</v>
      </c>
      <c r="S64" s="284">
        <f t="shared" si="24"/>
        <v>0</v>
      </c>
      <c r="T64" s="284">
        <f t="shared" si="24"/>
        <v>0</v>
      </c>
      <c r="U64" s="284">
        <f t="shared" si="24"/>
        <v>0</v>
      </c>
      <c r="V64" s="284">
        <f t="shared" si="24"/>
        <v>0</v>
      </c>
      <c r="W64" s="284">
        <f t="shared" si="24"/>
        <v>0</v>
      </c>
    </row>
    <row r="65" spans="1:23">
      <c r="B65" s="245" t="s">
        <v>282</v>
      </c>
      <c r="C65" s="281">
        <v>0</v>
      </c>
      <c r="D65" s="281">
        <f>ABS(IF(D46&gt;$C$23,0,$C$38/$C$23))</f>
        <v>9148866.5</v>
      </c>
      <c r="E65" s="281">
        <f>IF(E$46&lt;=$C$22,ABS(IF(E46&gt;$C$23,0,$C$38/$C$23)),0)</f>
        <v>9148866.5</v>
      </c>
      <c r="F65" s="281">
        <f t="shared" ref="F65:W65" si="25">IF(F$46&lt;=$C$22,ABS(IF(F46&gt;$C$23,0,$C$38/$C$23)),0)</f>
        <v>9148866.5</v>
      </c>
      <c r="G65" s="281">
        <f t="shared" si="25"/>
        <v>9148866.5</v>
      </c>
      <c r="H65" s="281">
        <f t="shared" si="25"/>
        <v>9148866.5</v>
      </c>
      <c r="I65" s="281">
        <f t="shared" si="25"/>
        <v>0</v>
      </c>
      <c r="J65" s="281">
        <f t="shared" si="25"/>
        <v>0</v>
      </c>
      <c r="K65" s="281">
        <f t="shared" si="25"/>
        <v>0</v>
      </c>
      <c r="L65" s="281">
        <f t="shared" si="25"/>
        <v>0</v>
      </c>
      <c r="M65" s="281">
        <f t="shared" si="25"/>
        <v>0</v>
      </c>
      <c r="N65" s="281">
        <f t="shared" si="25"/>
        <v>0</v>
      </c>
      <c r="O65" s="281">
        <f t="shared" si="25"/>
        <v>0</v>
      </c>
      <c r="P65" s="281">
        <f t="shared" si="25"/>
        <v>0</v>
      </c>
      <c r="Q65" s="281">
        <f t="shared" si="25"/>
        <v>0</v>
      </c>
      <c r="R65" s="281">
        <f t="shared" si="25"/>
        <v>0</v>
      </c>
      <c r="S65" s="281">
        <f t="shared" si="25"/>
        <v>0</v>
      </c>
      <c r="T65" s="281">
        <f t="shared" si="25"/>
        <v>0</v>
      </c>
      <c r="U65" s="281">
        <f t="shared" si="25"/>
        <v>0</v>
      </c>
      <c r="V65" s="281">
        <f t="shared" si="25"/>
        <v>0</v>
      </c>
      <c r="W65" s="281">
        <f t="shared" si="25"/>
        <v>0</v>
      </c>
    </row>
    <row r="66" spans="1:23" ht="15">
      <c r="B66" s="247" t="s">
        <v>285</v>
      </c>
      <c r="C66" s="284">
        <f>+C64+C65</f>
        <v>-20400000</v>
      </c>
      <c r="D66" s="284">
        <f>+D64+D65</f>
        <v>41169102.689075381</v>
      </c>
      <c r="E66" s="284">
        <f>IF(E$46&lt;=$C$22,E64+E65,0)</f>
        <v>44242386.771891661</v>
      </c>
      <c r="F66" s="284">
        <f t="shared" ref="F66:W66" si="26">IF(F$46&lt;=$C$22,F64+F65,0)</f>
        <v>47469335.058848746</v>
      </c>
      <c r="G66" s="284">
        <f t="shared" si="26"/>
        <v>50857630.760153688</v>
      </c>
      <c r="H66" s="284">
        <f t="shared" si="26"/>
        <v>54415341.246523872</v>
      </c>
      <c r="I66" s="284">
        <f t="shared" si="26"/>
        <v>0</v>
      </c>
      <c r="J66" s="284">
        <f t="shared" si="26"/>
        <v>0</v>
      </c>
      <c r="K66" s="284">
        <f t="shared" si="26"/>
        <v>0</v>
      </c>
      <c r="L66" s="284">
        <f t="shared" si="26"/>
        <v>0</v>
      </c>
      <c r="M66" s="284">
        <f t="shared" si="26"/>
        <v>0</v>
      </c>
      <c r="N66" s="284">
        <f t="shared" si="26"/>
        <v>0</v>
      </c>
      <c r="O66" s="284">
        <f t="shared" si="26"/>
        <v>0</v>
      </c>
      <c r="P66" s="284">
        <f t="shared" si="26"/>
        <v>0</v>
      </c>
      <c r="Q66" s="284">
        <f t="shared" si="26"/>
        <v>0</v>
      </c>
      <c r="R66" s="284">
        <f t="shared" si="26"/>
        <v>0</v>
      </c>
      <c r="S66" s="284">
        <f t="shared" si="26"/>
        <v>0</v>
      </c>
      <c r="T66" s="284">
        <f t="shared" si="26"/>
        <v>0</v>
      </c>
      <c r="U66" s="284">
        <f t="shared" si="26"/>
        <v>0</v>
      </c>
      <c r="V66" s="284">
        <f t="shared" si="26"/>
        <v>0</v>
      </c>
      <c r="W66" s="284">
        <f t="shared" si="26"/>
        <v>0</v>
      </c>
    </row>
    <row r="68" spans="1:23" ht="15">
      <c r="B68" s="262" t="s">
        <v>286</v>
      </c>
      <c r="C68" s="288"/>
      <c r="D68" s="288"/>
      <c r="E68" s="288"/>
      <c r="F68" s="288"/>
    </row>
    <row r="69" spans="1:23" ht="15.75" thickBot="1">
      <c r="B69" s="251" t="s">
        <v>287</v>
      </c>
      <c r="C69" s="252">
        <v>0</v>
      </c>
      <c r="D69" s="252">
        <v>1</v>
      </c>
      <c r="E69" s="252">
        <v>2</v>
      </c>
      <c r="F69" s="252">
        <v>3</v>
      </c>
      <c r="G69" s="252">
        <v>4</v>
      </c>
      <c r="H69" s="252">
        <v>5</v>
      </c>
      <c r="I69" s="252">
        <v>6</v>
      </c>
      <c r="J69" s="252">
        <v>7</v>
      </c>
      <c r="K69" s="252">
        <v>8</v>
      </c>
      <c r="L69" s="252">
        <v>9</v>
      </c>
      <c r="M69" s="252">
        <v>10</v>
      </c>
      <c r="N69" s="252">
        <v>11</v>
      </c>
      <c r="O69" s="252">
        <v>12</v>
      </c>
      <c r="P69" s="252">
        <v>13</v>
      </c>
      <c r="Q69" s="252">
        <v>14</v>
      </c>
      <c r="R69" s="252">
        <v>15</v>
      </c>
      <c r="S69" s="252">
        <v>16</v>
      </c>
      <c r="T69" s="252">
        <v>17</v>
      </c>
      <c r="U69" s="252">
        <v>18</v>
      </c>
      <c r="V69" s="252">
        <v>19</v>
      </c>
      <c r="W69" s="252">
        <v>20</v>
      </c>
    </row>
    <row r="70" spans="1:23" ht="13.5" thickBot="1">
      <c r="A70" s="255" t="str">
        <f>+D27</f>
        <v>kWh</v>
      </c>
      <c r="B70" s="245" t="str">
        <f>"Electricidad"&amp;" (COP/"&amp;A70&amp;")"</f>
        <v>Electricidad (COP/kWh)</v>
      </c>
      <c r="C70" s="264">
        <f>+Precios_tarifas!C9</f>
        <v>598.40629999999999</v>
      </c>
      <c r="D70" s="264">
        <f>+C70*(1+Precios_tarifas!$D$2)</f>
        <v>628.32661500000006</v>
      </c>
      <c r="E70" s="264">
        <f>+D70*(1+Precios_tarifas!$D$2)</f>
        <v>659.7429457500001</v>
      </c>
      <c r="F70" s="264">
        <f>+E70*(1+Precios_tarifas!$D$2)</f>
        <v>692.73009303750018</v>
      </c>
      <c r="G70" s="264">
        <f>+F70*(1+Precios_tarifas!$D$2)</f>
        <v>727.36659768937523</v>
      </c>
      <c r="H70" s="264">
        <f>+G70*(1+Precios_tarifas!$D$2)</f>
        <v>763.73492757384406</v>
      </c>
      <c r="I70" s="264">
        <f>+H70*(1+Precios_tarifas!$D$2)</f>
        <v>801.92167395253625</v>
      </c>
      <c r="J70" s="264">
        <f>+I70*(1+Precios_tarifas!$D$2)</f>
        <v>842.01775765016305</v>
      </c>
      <c r="K70" s="264">
        <f>+J70*(1+Precios_tarifas!$D$2)</f>
        <v>884.11864553267128</v>
      </c>
      <c r="L70" s="264"/>
      <c r="M70" s="264"/>
      <c r="N70" s="264"/>
      <c r="O70" s="264"/>
      <c r="P70" s="264"/>
      <c r="Q70" s="264"/>
      <c r="R70" s="264"/>
      <c r="S70" s="264"/>
      <c r="T70" s="264"/>
      <c r="U70" s="264"/>
      <c r="V70" s="264"/>
      <c r="W70" s="264"/>
    </row>
    <row r="71" spans="1:23" ht="13.5" thickBot="1">
      <c r="A71" s="255" t="str">
        <f>+D28</f>
        <v>m3</v>
      </c>
      <c r="B71" s="245" t="str">
        <f>"Gas"&amp;" (COP/"&amp;A71&amp;")"</f>
        <v>Gas (COP/m3)</v>
      </c>
      <c r="C71" s="264">
        <f>Precios_tarifas!C10</f>
        <v>2740.2986052220881</v>
      </c>
      <c r="D71" s="264">
        <f>+C71*(1+Precios_tarifas!$D$2)</f>
        <v>2877.3135354831925</v>
      </c>
      <c r="E71" s="264">
        <f>+D71*(1+Precios_tarifas!$D$2)</f>
        <v>3021.1792122573524</v>
      </c>
      <c r="F71" s="264">
        <f>+E71*(1+Precios_tarifas!$D$2)</f>
        <v>3172.2381728702203</v>
      </c>
      <c r="G71" s="264">
        <f>+F71*(1+Precios_tarifas!$D$2)</f>
        <v>3330.8500815137313</v>
      </c>
      <c r="H71" s="264">
        <f>+G71*(1+Precios_tarifas!$D$2)</f>
        <v>3497.3925855894181</v>
      </c>
      <c r="I71" s="264">
        <f>+H71*(1+Precios_tarifas!$D$2)</f>
        <v>3672.2622148688893</v>
      </c>
      <c r="J71" s="264">
        <f>+I71*(1+Precios_tarifas!$D$2)</f>
        <v>3855.8753256123341</v>
      </c>
      <c r="K71" s="264">
        <f>+J71*(1+Precios_tarifas!$D$2)</f>
        <v>4048.6690918929512</v>
      </c>
      <c r="L71" s="264"/>
      <c r="M71" s="264"/>
      <c r="N71" s="264"/>
      <c r="O71" s="264"/>
      <c r="P71" s="264"/>
      <c r="Q71" s="264"/>
      <c r="R71" s="264"/>
      <c r="S71" s="264"/>
      <c r="T71" s="264"/>
      <c r="U71" s="264"/>
      <c r="V71" s="264"/>
      <c r="W71" s="264"/>
    </row>
    <row r="72" spans="1:23">
      <c r="A72" s="255" t="str">
        <f>+D31</f>
        <v>m3</v>
      </c>
      <c r="B72" s="245" t="str">
        <f>"Agua"&amp;" (COP/"&amp;A72&amp;")"</f>
        <v>Agua (COP/m3)</v>
      </c>
      <c r="C72" s="264">
        <f>+Precios_tarifas!C11</f>
        <v>6238.0704732592994</v>
      </c>
      <c r="D72" s="264">
        <f>+C72*(1+Precios_tarifas!$D$2)</f>
        <v>6549.9739969222646</v>
      </c>
      <c r="E72" s="264">
        <f>+D72*(1+Precios_tarifas!$D$2)</f>
        <v>6877.4726967683782</v>
      </c>
      <c r="F72" s="264">
        <f>+E72*(1+Precios_tarifas!$D$2)</f>
        <v>7221.3463316067973</v>
      </c>
      <c r="G72" s="264">
        <f>+F72*(1+Precios_tarifas!$D$2)</f>
        <v>7582.4136481871374</v>
      </c>
      <c r="H72" s="264">
        <f>+G72*(1+Precios_tarifas!$D$2)</f>
        <v>7961.5343305964943</v>
      </c>
      <c r="I72" s="264">
        <f>+H72*(1+Precios_tarifas!$D$2)</f>
        <v>8359.61104712632</v>
      </c>
      <c r="J72" s="264">
        <f>+I72*(1+Precios_tarifas!$D$2)</f>
        <v>8777.5915994826373</v>
      </c>
      <c r="K72" s="264">
        <f>+J72*(1+Precios_tarifas!$D$2)</f>
        <v>9216.4711794567702</v>
      </c>
      <c r="L72" s="264"/>
      <c r="M72" s="264"/>
      <c r="N72" s="264"/>
      <c r="O72" s="264"/>
      <c r="P72" s="264"/>
      <c r="Q72" s="264"/>
      <c r="R72" s="264"/>
      <c r="S72" s="264"/>
      <c r="T72" s="264"/>
      <c r="U72" s="264"/>
      <c r="V72" s="264"/>
      <c r="W72" s="264"/>
    </row>
    <row r="73" spans="1:23">
      <c r="A73" s="271"/>
      <c r="B73" s="271"/>
      <c r="C73" s="271"/>
      <c r="F73" s="271"/>
      <c r="G73" s="271"/>
      <c r="H73" s="271"/>
      <c r="I73" s="271"/>
      <c r="J73" s="271"/>
      <c r="K73" s="271"/>
      <c r="L73" s="271"/>
      <c r="M73" s="271"/>
      <c r="N73" s="271"/>
      <c r="O73" s="271"/>
      <c r="P73" s="271"/>
      <c r="Q73" s="271"/>
      <c r="R73" s="271"/>
      <c r="S73" s="271"/>
      <c r="T73" s="271"/>
      <c r="U73" s="271"/>
      <c r="V73" s="271"/>
      <c r="W73" s="271"/>
    </row>
    <row r="74" spans="1:23">
      <c r="A74" s="407"/>
      <c r="B74" s="407"/>
      <c r="C74" s="407"/>
      <c r="F74" s="407"/>
      <c r="G74" s="271"/>
      <c r="H74" s="271"/>
      <c r="I74" s="271"/>
      <c r="J74" s="271"/>
      <c r="K74" s="271"/>
      <c r="L74" s="271"/>
      <c r="M74" s="271"/>
      <c r="N74" s="271"/>
      <c r="O74" s="271"/>
      <c r="P74" s="271"/>
      <c r="Q74" s="271"/>
      <c r="R74" s="271"/>
      <c r="S74" s="271"/>
      <c r="T74" s="271"/>
      <c r="U74" s="271"/>
      <c r="V74" s="271"/>
      <c r="W74" s="271"/>
    </row>
    <row r="75" spans="1:23">
      <c r="A75" s="530" t="s">
        <v>288</v>
      </c>
      <c r="B75" s="531"/>
      <c r="C75" s="531"/>
      <c r="D75" s="531"/>
      <c r="E75" s="531"/>
      <c r="F75" s="532"/>
      <c r="H75" s="265"/>
      <c r="I75" s="266"/>
      <c r="J75" s="266"/>
      <c r="K75" s="266"/>
      <c r="L75" s="266"/>
      <c r="M75" s="266"/>
      <c r="N75" s="266"/>
      <c r="O75" s="266"/>
      <c r="P75" s="266"/>
      <c r="Q75" s="266"/>
      <c r="R75" s="266"/>
      <c r="S75" s="266"/>
      <c r="T75" s="266"/>
      <c r="U75" s="266"/>
      <c r="V75" s="266"/>
      <c r="W75" s="266"/>
    </row>
    <row r="76" spans="1:23" ht="14.25">
      <c r="A76" s="526" t="s">
        <v>289</v>
      </c>
      <c r="B76" s="526"/>
      <c r="C76" s="355" t="s">
        <v>306</v>
      </c>
      <c r="D76" s="355" t="s">
        <v>95</v>
      </c>
      <c r="E76" s="355" t="s">
        <v>292</v>
      </c>
      <c r="F76" s="355" t="s">
        <v>307</v>
      </c>
      <c r="H76" s="267"/>
      <c r="I76" s="267"/>
      <c r="J76" s="268"/>
      <c r="K76" s="268"/>
      <c r="L76" s="268"/>
      <c r="M76" s="268"/>
      <c r="N76" s="268"/>
      <c r="O76" s="268"/>
      <c r="P76" s="268"/>
      <c r="Q76" s="268"/>
      <c r="R76" s="268"/>
      <c r="S76" s="268"/>
      <c r="T76" s="268"/>
      <c r="U76" s="268"/>
      <c r="V76" s="268"/>
      <c r="W76" s="268"/>
    </row>
    <row r="77" spans="1:23" ht="14.25">
      <c r="A77" s="528" t="s">
        <v>323</v>
      </c>
      <c r="B77" s="528"/>
      <c r="C77" s="356" t="s">
        <v>306</v>
      </c>
      <c r="D77" s="356">
        <v>2</v>
      </c>
      <c r="E77" s="357">
        <v>1250000</v>
      </c>
      <c r="F77" s="357">
        <v>2500000</v>
      </c>
      <c r="H77" s="268"/>
      <c r="I77" s="268"/>
      <c r="J77" s="268"/>
      <c r="K77" s="268"/>
      <c r="L77" s="268"/>
      <c r="M77" s="268"/>
      <c r="N77" s="268"/>
      <c r="O77" s="268"/>
      <c r="P77" s="268"/>
      <c r="Q77" s="268"/>
      <c r="R77" s="268"/>
      <c r="S77" s="268"/>
      <c r="T77" s="268"/>
      <c r="U77" s="268"/>
      <c r="V77" s="268"/>
      <c r="W77" s="268"/>
    </row>
    <row r="78" spans="1:23" ht="14.25">
      <c r="A78" s="528" t="s">
        <v>324</v>
      </c>
      <c r="B78" s="528"/>
      <c r="C78" s="356" t="s">
        <v>306</v>
      </c>
      <c r="D78" s="356">
        <v>6</v>
      </c>
      <c r="E78" s="357">
        <v>740000</v>
      </c>
      <c r="F78" s="357">
        <v>4440000</v>
      </c>
      <c r="H78" s="268"/>
      <c r="I78" s="268"/>
      <c r="J78" s="268"/>
      <c r="K78" s="268"/>
      <c r="L78" s="268"/>
      <c r="M78" s="268"/>
      <c r="N78" s="268"/>
      <c r="O78" s="268"/>
      <c r="P78" s="268"/>
      <c r="Q78" s="268"/>
      <c r="R78" s="268"/>
      <c r="S78" s="268"/>
      <c r="T78" s="268"/>
      <c r="U78" s="268"/>
      <c r="V78" s="268"/>
      <c r="W78" s="268"/>
    </row>
    <row r="79" spans="1:23" ht="14.25">
      <c r="A79" s="528" t="s">
        <v>325</v>
      </c>
      <c r="B79" s="528"/>
      <c r="C79" s="356" t="s">
        <v>306</v>
      </c>
      <c r="D79" s="356">
        <v>23</v>
      </c>
      <c r="E79" s="357">
        <v>400000</v>
      </c>
      <c r="F79" s="357">
        <v>9200000</v>
      </c>
      <c r="H79" s="268"/>
      <c r="I79" s="268"/>
      <c r="J79" s="268"/>
      <c r="K79" s="268"/>
      <c r="L79" s="268"/>
      <c r="M79" s="268"/>
      <c r="N79" s="268"/>
      <c r="O79" s="268"/>
      <c r="P79" s="268"/>
      <c r="Q79" s="268"/>
      <c r="R79" s="268"/>
      <c r="S79" s="268"/>
      <c r="T79" s="268"/>
      <c r="U79" s="268"/>
      <c r="V79" s="268"/>
      <c r="W79" s="268"/>
    </row>
    <row r="80" spans="1:23" ht="14.25">
      <c r="A80" s="528" t="s">
        <v>326</v>
      </c>
      <c r="B80" s="528"/>
      <c r="C80" s="356" t="s">
        <v>306</v>
      </c>
      <c r="D80" s="356">
        <v>31</v>
      </c>
      <c r="E80" s="357">
        <v>45500</v>
      </c>
      <c r="F80" s="357">
        <v>1410500</v>
      </c>
      <c r="H80" s="268"/>
      <c r="I80" s="268"/>
      <c r="J80" s="268"/>
      <c r="K80" s="268"/>
      <c r="L80" s="268"/>
      <c r="M80" s="268"/>
      <c r="N80" s="268"/>
      <c r="O80" s="268"/>
      <c r="P80" s="268"/>
      <c r="Q80" s="268"/>
      <c r="R80" s="268"/>
      <c r="S80" s="268"/>
      <c r="T80" s="268"/>
      <c r="U80" s="268"/>
      <c r="V80" s="268"/>
      <c r="W80" s="268"/>
    </row>
    <row r="81" spans="1:23" ht="14.25">
      <c r="A81" s="528" t="s">
        <v>327</v>
      </c>
      <c r="B81" s="528"/>
      <c r="C81" s="356" t="s">
        <v>306</v>
      </c>
      <c r="D81" s="356">
        <v>31</v>
      </c>
      <c r="E81" s="357">
        <v>21384</v>
      </c>
      <c r="F81" s="357">
        <v>662913</v>
      </c>
      <c r="H81" s="268"/>
      <c r="I81" s="268"/>
      <c r="J81" s="268"/>
      <c r="K81" s="268"/>
      <c r="L81" s="268"/>
      <c r="M81" s="268"/>
      <c r="N81" s="268"/>
      <c r="O81" s="268"/>
      <c r="P81" s="268"/>
      <c r="Q81" s="268"/>
      <c r="R81" s="268"/>
      <c r="S81" s="268"/>
      <c r="T81" s="268"/>
      <c r="U81" s="268"/>
      <c r="V81" s="268"/>
      <c r="W81" s="268"/>
    </row>
    <row r="82" spans="1:23" ht="14.25">
      <c r="A82" s="528" t="s">
        <v>328</v>
      </c>
      <c r="B82" s="528"/>
      <c r="C82" s="356" t="s">
        <v>306</v>
      </c>
      <c r="D82" s="356">
        <v>93</v>
      </c>
      <c r="E82" s="357">
        <v>22500</v>
      </c>
      <c r="F82" s="357">
        <v>2092500</v>
      </c>
      <c r="H82" s="241"/>
      <c r="I82" s="241"/>
      <c r="J82" s="241"/>
      <c r="K82" s="241"/>
      <c r="L82" s="241"/>
      <c r="M82" s="241"/>
      <c r="N82" s="241"/>
      <c r="O82" s="241"/>
      <c r="P82" s="241"/>
      <c r="Q82" s="241"/>
      <c r="R82" s="241"/>
      <c r="S82" s="241"/>
      <c r="T82" s="241"/>
      <c r="U82" s="241"/>
      <c r="V82" s="241"/>
      <c r="W82" s="241"/>
    </row>
    <row r="83" spans="1:23" ht="14.25">
      <c r="A83" s="528" t="s">
        <v>329</v>
      </c>
      <c r="B83" s="528"/>
      <c r="C83" s="356" t="s">
        <v>306</v>
      </c>
      <c r="D83" s="356">
        <v>93</v>
      </c>
      <c r="E83" s="357">
        <v>240000</v>
      </c>
      <c r="F83" s="357">
        <v>22320000</v>
      </c>
      <c r="H83" s="241"/>
      <c r="I83" s="241"/>
      <c r="J83" s="241"/>
      <c r="K83" s="241"/>
      <c r="L83" s="241"/>
      <c r="M83" s="241"/>
      <c r="N83" s="241"/>
      <c r="O83" s="241"/>
      <c r="P83" s="241"/>
      <c r="Q83" s="241"/>
      <c r="R83" s="241"/>
      <c r="S83" s="241"/>
      <c r="T83" s="241"/>
      <c r="U83" s="241"/>
      <c r="V83" s="241"/>
      <c r="W83" s="241"/>
    </row>
    <row r="84" spans="1:23" ht="14.25">
      <c r="A84" s="528" t="s">
        <v>330</v>
      </c>
      <c r="B84" s="528"/>
      <c r="C84" s="356" t="s">
        <v>306</v>
      </c>
      <c r="D84" s="356">
        <v>31</v>
      </c>
      <c r="E84" s="357">
        <v>4641</v>
      </c>
      <c r="F84" s="357">
        <v>143871</v>
      </c>
    </row>
    <row r="85" spans="1:23" ht="14.25">
      <c r="A85" s="528" t="s">
        <v>331</v>
      </c>
      <c r="B85" s="528"/>
      <c r="C85" s="356" t="s">
        <v>306</v>
      </c>
      <c r="D85" s="356">
        <v>31</v>
      </c>
      <c r="E85" s="357">
        <v>4641</v>
      </c>
      <c r="F85" s="357">
        <v>143871</v>
      </c>
    </row>
    <row r="86" spans="1:23" ht="14.25">
      <c r="A86" s="528" t="s">
        <v>332</v>
      </c>
      <c r="B86" s="528"/>
      <c r="C86" s="356" t="s">
        <v>306</v>
      </c>
      <c r="D86" s="356">
        <v>31</v>
      </c>
      <c r="E86" s="357">
        <v>13637</v>
      </c>
      <c r="F86" s="357">
        <v>422759</v>
      </c>
    </row>
    <row r="87" spans="1:23" ht="14.25">
      <c r="A87" s="528" t="s">
        <v>333</v>
      </c>
      <c r="B87" s="528"/>
      <c r="C87" s="356" t="s">
        <v>306</v>
      </c>
      <c r="D87" s="356">
        <v>62</v>
      </c>
      <c r="E87" s="357">
        <v>2975</v>
      </c>
      <c r="F87" s="357">
        <v>184450</v>
      </c>
    </row>
    <row r="88" spans="1:23" ht="14.25">
      <c r="A88" s="528" t="s">
        <v>334</v>
      </c>
      <c r="B88" s="528"/>
      <c r="C88" s="356" t="s">
        <v>335</v>
      </c>
      <c r="D88" s="356">
        <v>1550</v>
      </c>
      <c r="E88" s="357">
        <v>1750</v>
      </c>
      <c r="F88" s="357">
        <v>2712500</v>
      </c>
    </row>
    <row r="89" spans="1:23" ht="14.25">
      <c r="A89" s="528" t="s">
        <v>336</v>
      </c>
      <c r="B89" s="528"/>
      <c r="C89" s="356" t="s">
        <v>335</v>
      </c>
      <c r="D89" s="356">
        <v>62</v>
      </c>
      <c r="E89" s="357">
        <v>10000</v>
      </c>
      <c r="F89" s="357">
        <v>620000</v>
      </c>
    </row>
    <row r="90" spans="1:23" ht="14.25">
      <c r="A90" s="528" t="s">
        <v>337</v>
      </c>
      <c r="B90" s="528"/>
      <c r="C90" s="356" t="s">
        <v>338</v>
      </c>
      <c r="D90" s="356">
        <v>31</v>
      </c>
      <c r="E90" s="357">
        <v>76300</v>
      </c>
      <c r="F90" s="357">
        <v>2365300</v>
      </c>
    </row>
    <row r="91" spans="1:23" ht="14.25">
      <c r="A91" s="528" t="s">
        <v>339</v>
      </c>
      <c r="B91" s="528"/>
      <c r="C91" s="356" t="s">
        <v>306</v>
      </c>
      <c r="D91" s="356">
        <v>8</v>
      </c>
      <c r="E91" s="357">
        <v>1487500</v>
      </c>
      <c r="F91" s="357">
        <v>11900000</v>
      </c>
    </row>
    <row r="92" spans="1:23" ht="14.25">
      <c r="A92" s="528" t="s">
        <v>340</v>
      </c>
      <c r="B92" s="528"/>
      <c r="C92" s="356" t="s">
        <v>306</v>
      </c>
      <c r="D92" s="356">
        <v>1</v>
      </c>
      <c r="E92" s="357">
        <v>3570000</v>
      </c>
      <c r="F92" s="357">
        <v>3570000</v>
      </c>
    </row>
    <row r="93" spans="1:23" ht="14.25">
      <c r="A93" s="526" t="s">
        <v>341</v>
      </c>
      <c r="B93" s="526"/>
      <c r="C93" s="526"/>
      <c r="D93" s="526"/>
      <c r="E93" s="526"/>
      <c r="F93" s="358">
        <v>64688665</v>
      </c>
    </row>
    <row r="95" spans="1:23">
      <c r="A95" s="354"/>
      <c r="B95"/>
      <c r="C95"/>
      <c r="D95"/>
      <c r="E95"/>
      <c r="F95"/>
      <c r="G95"/>
    </row>
    <row r="96" spans="1:23" ht="12.75" customHeight="1">
      <c r="A96" s="527" t="s">
        <v>345</v>
      </c>
      <c r="B96" s="527"/>
      <c r="C96" s="533" t="s">
        <v>293</v>
      </c>
      <c r="D96" s="534" t="s">
        <v>346</v>
      </c>
      <c r="E96" s="527" t="s">
        <v>347</v>
      </c>
      <c r="F96" s="527"/>
      <c r="G96" s="527" t="s">
        <v>348</v>
      </c>
      <c r="H96" s="527"/>
      <c r="I96" s="398" t="s">
        <v>96</v>
      </c>
      <c r="J96" s="398" t="s">
        <v>350</v>
      </c>
    </row>
    <row r="97" spans="1:10" ht="17.25" customHeight="1">
      <c r="A97" s="527"/>
      <c r="B97" s="527"/>
      <c r="C97" s="533"/>
      <c r="D97" s="534"/>
      <c r="E97" s="527"/>
      <c r="F97" s="527"/>
      <c r="G97" s="527"/>
      <c r="H97" s="527"/>
      <c r="I97" s="398" t="s">
        <v>349</v>
      </c>
      <c r="J97" s="398" t="s">
        <v>96</v>
      </c>
    </row>
    <row r="98" spans="1:10" ht="14.25">
      <c r="A98" s="527"/>
      <c r="B98" s="527"/>
      <c r="C98" s="533"/>
      <c r="D98" s="534"/>
      <c r="E98" s="398" t="s">
        <v>351</v>
      </c>
      <c r="F98" s="398" t="s">
        <v>352</v>
      </c>
      <c r="G98" s="398" t="s">
        <v>351</v>
      </c>
      <c r="H98" s="398" t="s">
        <v>352</v>
      </c>
      <c r="I98" s="399" t="s">
        <v>353</v>
      </c>
      <c r="J98" s="399" t="s">
        <v>353</v>
      </c>
    </row>
    <row r="99" spans="1:10" ht="14.25">
      <c r="A99" s="537" t="s">
        <v>365</v>
      </c>
      <c r="B99" s="537"/>
      <c r="C99" s="537"/>
      <c r="D99" s="537"/>
      <c r="E99" s="537"/>
      <c r="F99" s="537"/>
      <c r="G99" s="537"/>
      <c r="H99" s="537"/>
      <c r="I99" s="537"/>
      <c r="J99" s="537"/>
    </row>
    <row r="100" spans="1:10" ht="14.25">
      <c r="A100" s="536" t="s">
        <v>381</v>
      </c>
      <c r="B100" s="536"/>
      <c r="C100" s="389">
        <v>1</v>
      </c>
      <c r="D100" s="389" t="s">
        <v>338</v>
      </c>
      <c r="E100" s="390">
        <v>2163200</v>
      </c>
      <c r="F100" s="390">
        <v>2163200</v>
      </c>
      <c r="G100" s="390">
        <v>6476800</v>
      </c>
      <c r="H100" s="390">
        <v>6476800</v>
      </c>
      <c r="I100" s="390">
        <v>8640000</v>
      </c>
      <c r="J100" s="401">
        <v>8640000</v>
      </c>
    </row>
    <row r="101" spans="1:10" ht="14.25">
      <c r="A101" s="529" t="s">
        <v>382</v>
      </c>
      <c r="B101" s="529"/>
      <c r="C101" s="391">
        <v>8</v>
      </c>
      <c r="D101" s="391" t="s">
        <v>358</v>
      </c>
      <c r="E101" s="392">
        <v>81250</v>
      </c>
      <c r="F101" s="392">
        <v>650000</v>
      </c>
      <c r="G101" s="392">
        <v>243412</v>
      </c>
      <c r="H101" s="392">
        <v>1947296</v>
      </c>
      <c r="I101" s="392">
        <v>324662</v>
      </c>
      <c r="J101" s="392">
        <v>2597296</v>
      </c>
    </row>
    <row r="102" spans="1:10" ht="14.25">
      <c r="A102" s="529" t="s">
        <v>383</v>
      </c>
      <c r="B102" s="529"/>
      <c r="C102" s="391">
        <v>14</v>
      </c>
      <c r="D102" s="391" t="s">
        <v>358</v>
      </c>
      <c r="E102" s="392">
        <v>65600</v>
      </c>
      <c r="F102" s="392">
        <v>918400</v>
      </c>
      <c r="G102" s="392">
        <v>196400</v>
      </c>
      <c r="H102" s="392">
        <v>2749600</v>
      </c>
      <c r="I102" s="392">
        <v>262000</v>
      </c>
      <c r="J102" s="392">
        <v>3668000</v>
      </c>
    </row>
    <row r="103" spans="1:10" ht="14.25">
      <c r="A103" s="529" t="s">
        <v>384</v>
      </c>
      <c r="B103" s="529"/>
      <c r="C103" s="391">
        <v>4</v>
      </c>
      <c r="D103" s="391" t="s">
        <v>358</v>
      </c>
      <c r="E103" s="392">
        <v>65600</v>
      </c>
      <c r="F103" s="392">
        <v>262400</v>
      </c>
      <c r="G103" s="392">
        <v>196400</v>
      </c>
      <c r="H103" s="392">
        <v>785600</v>
      </c>
      <c r="I103" s="392">
        <v>262000</v>
      </c>
      <c r="J103" s="392">
        <v>1048000</v>
      </c>
    </row>
    <row r="104" spans="1:10" ht="14.25">
      <c r="A104" s="529" t="s">
        <v>385</v>
      </c>
      <c r="B104" s="529"/>
      <c r="C104" s="391">
        <v>4</v>
      </c>
      <c r="D104" s="391" t="s">
        <v>358</v>
      </c>
      <c r="E104" s="392">
        <v>65600</v>
      </c>
      <c r="F104" s="392">
        <v>262400</v>
      </c>
      <c r="G104" s="392">
        <v>196400</v>
      </c>
      <c r="H104" s="392">
        <v>785600</v>
      </c>
      <c r="I104" s="392">
        <v>262000</v>
      </c>
      <c r="J104" s="392">
        <v>1048000</v>
      </c>
    </row>
    <row r="105" spans="1:10" ht="14.25">
      <c r="A105" s="529" t="s">
        <v>386</v>
      </c>
      <c r="B105" s="529"/>
      <c r="C105" s="391">
        <v>1</v>
      </c>
      <c r="D105" s="391" t="s">
        <v>358</v>
      </c>
      <c r="E105" s="392">
        <v>70000</v>
      </c>
      <c r="F105" s="392">
        <v>70000</v>
      </c>
      <c r="G105" s="392">
        <v>208704</v>
      </c>
      <c r="H105" s="392">
        <v>208704</v>
      </c>
      <c r="I105" s="392">
        <v>278704</v>
      </c>
      <c r="J105" s="392">
        <v>278704</v>
      </c>
    </row>
    <row r="106" spans="1:10" ht="14.25">
      <c r="A106" s="535" t="s">
        <v>387</v>
      </c>
      <c r="B106" s="535"/>
      <c r="C106" s="535"/>
      <c r="D106" s="535"/>
      <c r="E106" s="535"/>
      <c r="F106" s="535"/>
      <c r="G106" s="535"/>
      <c r="H106" s="535"/>
      <c r="I106" s="535"/>
      <c r="J106" s="535"/>
    </row>
    <row r="107" spans="1:10" ht="14.25">
      <c r="A107" s="536" t="s">
        <v>366</v>
      </c>
      <c r="B107" s="536"/>
      <c r="C107" s="389">
        <v>1</v>
      </c>
      <c r="D107" s="389" t="s">
        <v>367</v>
      </c>
      <c r="E107" s="389" t="s">
        <v>7</v>
      </c>
      <c r="F107" s="389" t="s">
        <v>7</v>
      </c>
      <c r="G107" s="390">
        <v>6000000</v>
      </c>
      <c r="H107" s="390">
        <v>6000000</v>
      </c>
      <c r="I107" s="390">
        <v>6000000</v>
      </c>
      <c r="J107" s="400">
        <v>6000000</v>
      </c>
    </row>
    <row r="108" spans="1:10" ht="14.25">
      <c r="A108" s="529" t="s">
        <v>342</v>
      </c>
      <c r="B108" s="529"/>
      <c r="C108" s="391">
        <v>1</v>
      </c>
      <c r="D108" s="391" t="s">
        <v>338</v>
      </c>
      <c r="E108" s="391" t="s">
        <v>7</v>
      </c>
      <c r="F108" s="391" t="s">
        <v>7</v>
      </c>
      <c r="G108" s="392">
        <v>1525000</v>
      </c>
      <c r="H108" s="392">
        <v>1525000</v>
      </c>
      <c r="I108" s="392">
        <v>1525000</v>
      </c>
      <c r="J108" s="392">
        <v>1525000</v>
      </c>
    </row>
    <row r="109" spans="1:10" ht="14.25">
      <c r="A109" s="529" t="s">
        <v>388</v>
      </c>
      <c r="B109" s="529"/>
      <c r="C109" s="391">
        <v>1</v>
      </c>
      <c r="D109" s="391" t="s">
        <v>338</v>
      </c>
      <c r="E109" s="391" t="s">
        <v>7</v>
      </c>
      <c r="F109" s="391" t="s">
        <v>7</v>
      </c>
      <c r="G109" s="392">
        <v>750000</v>
      </c>
      <c r="H109" s="392">
        <v>750000</v>
      </c>
      <c r="I109" s="392">
        <v>750000</v>
      </c>
      <c r="J109" s="392">
        <v>750000</v>
      </c>
    </row>
    <row r="110" spans="1:10" ht="14.25">
      <c r="A110" s="529" t="s">
        <v>343</v>
      </c>
      <c r="B110" s="529"/>
      <c r="C110" s="391">
        <v>1</v>
      </c>
      <c r="D110" s="391" t="s">
        <v>338</v>
      </c>
      <c r="E110" s="391" t="s">
        <v>7</v>
      </c>
      <c r="F110" s="391" t="s">
        <v>7</v>
      </c>
      <c r="G110" s="392">
        <v>200000</v>
      </c>
      <c r="H110" s="392">
        <v>200000</v>
      </c>
      <c r="I110" s="392">
        <v>200000</v>
      </c>
      <c r="J110" s="392">
        <v>200000</v>
      </c>
    </row>
    <row r="111" spans="1:10" ht="14.25">
      <c r="A111" s="529" t="s">
        <v>344</v>
      </c>
      <c r="B111" s="529"/>
      <c r="C111" s="391">
        <v>1</v>
      </c>
      <c r="D111" s="391" t="s">
        <v>338</v>
      </c>
      <c r="E111" s="391" t="s">
        <v>7</v>
      </c>
      <c r="F111" s="391" t="s">
        <v>7</v>
      </c>
      <c r="G111" s="392">
        <v>1200000</v>
      </c>
      <c r="H111" s="392">
        <v>1200000</v>
      </c>
      <c r="I111" s="392">
        <v>1200000</v>
      </c>
      <c r="J111" s="392">
        <v>1200000</v>
      </c>
    </row>
    <row r="112" spans="1:10" ht="14.25">
      <c r="A112" s="535" t="s">
        <v>372</v>
      </c>
      <c r="B112" s="535"/>
      <c r="C112" s="535"/>
      <c r="D112" s="535"/>
      <c r="E112" s="535"/>
      <c r="F112" s="535"/>
      <c r="G112" s="535"/>
      <c r="H112" s="535"/>
      <c r="I112" s="535"/>
      <c r="J112" s="535"/>
    </row>
    <row r="113" spans="1:10" ht="14.25">
      <c r="A113" s="536" t="s">
        <v>373</v>
      </c>
      <c r="B113" s="536"/>
      <c r="C113" s="389">
        <v>1</v>
      </c>
      <c r="D113" s="389" t="s">
        <v>338</v>
      </c>
      <c r="E113" s="389" t="s">
        <v>7</v>
      </c>
      <c r="F113" s="389" t="s">
        <v>7</v>
      </c>
      <c r="G113" s="390">
        <v>6800000</v>
      </c>
      <c r="H113" s="390">
        <v>6800000</v>
      </c>
      <c r="I113" s="390">
        <v>6800000</v>
      </c>
      <c r="J113" s="401">
        <v>6800000</v>
      </c>
    </row>
    <row r="114" spans="1:10" ht="14.25">
      <c r="A114" s="538" t="s">
        <v>389</v>
      </c>
      <c r="B114" s="538"/>
      <c r="C114" s="391">
        <v>16</v>
      </c>
      <c r="D114" s="391" t="s">
        <v>390</v>
      </c>
      <c r="E114" s="391" t="s">
        <v>7</v>
      </c>
      <c r="F114" s="391" t="s">
        <v>7</v>
      </c>
      <c r="G114" s="392">
        <v>250000</v>
      </c>
      <c r="H114" s="392">
        <v>4000000</v>
      </c>
      <c r="I114" s="392">
        <v>250000</v>
      </c>
      <c r="J114" s="392">
        <v>4000000</v>
      </c>
    </row>
    <row r="115" spans="1:10" ht="14.25">
      <c r="A115" s="543" t="s">
        <v>391</v>
      </c>
      <c r="B115" s="543"/>
      <c r="C115" s="404">
        <v>16</v>
      </c>
      <c r="D115" s="404" t="s">
        <v>390</v>
      </c>
      <c r="E115" s="404" t="s">
        <v>7</v>
      </c>
      <c r="F115" s="404" t="s">
        <v>7</v>
      </c>
      <c r="G115" s="405">
        <v>175000</v>
      </c>
      <c r="H115" s="405">
        <v>2800000</v>
      </c>
      <c r="I115" s="405">
        <v>175000</v>
      </c>
      <c r="J115" s="405">
        <v>2800000</v>
      </c>
    </row>
    <row r="116" spans="1:10" ht="14.25">
      <c r="A116" s="544" t="s">
        <v>392</v>
      </c>
      <c r="B116" s="544"/>
      <c r="C116" s="544"/>
      <c r="D116" s="544"/>
      <c r="E116" s="402">
        <v>21440000</v>
      </c>
      <c r="F116" s="403"/>
      <c r="G116" s="403"/>
      <c r="H116" s="403"/>
      <c r="I116" s="403"/>
      <c r="J116" s="403"/>
    </row>
    <row r="117" spans="1:10" ht="14.25">
      <c r="A117" s="538" t="s">
        <v>393</v>
      </c>
      <c r="B117" s="538"/>
      <c r="C117" s="394"/>
      <c r="D117" s="395">
        <v>0.15</v>
      </c>
      <c r="E117" s="392">
        <v>3216000</v>
      </c>
      <c r="F117" s="393"/>
      <c r="G117" s="393"/>
      <c r="H117" s="393"/>
      <c r="I117" s="393"/>
      <c r="J117" s="393"/>
    </row>
    <row r="118" spans="1:10" ht="14.25">
      <c r="A118" s="538" t="s">
        <v>376</v>
      </c>
      <c r="B118" s="538"/>
      <c r="C118" s="394"/>
      <c r="D118" s="395">
        <v>0.05</v>
      </c>
      <c r="E118" s="392">
        <v>1072000</v>
      </c>
      <c r="F118" s="393"/>
      <c r="G118" s="393"/>
      <c r="H118" s="393"/>
      <c r="I118" s="393"/>
      <c r="J118" s="393"/>
    </row>
    <row r="119" spans="1:10" ht="14.25">
      <c r="A119" s="538" t="s">
        <v>377</v>
      </c>
      <c r="B119" s="538"/>
      <c r="C119" s="394"/>
      <c r="D119" s="395">
        <v>0.05</v>
      </c>
      <c r="E119" s="392">
        <v>1072000</v>
      </c>
      <c r="F119" s="393"/>
      <c r="G119" s="393"/>
      <c r="H119" s="393"/>
      <c r="I119" s="393"/>
      <c r="J119" s="393"/>
    </row>
    <row r="120" spans="1:10" ht="14.25">
      <c r="A120" s="539" t="s">
        <v>378</v>
      </c>
      <c r="B120" s="539"/>
      <c r="C120" s="394"/>
      <c r="D120" s="396">
        <v>0.25</v>
      </c>
      <c r="E120" s="397">
        <v>5360000</v>
      </c>
      <c r="F120" s="393"/>
      <c r="G120" s="393"/>
      <c r="H120" s="393"/>
      <c r="I120" s="393"/>
      <c r="J120" s="393"/>
    </row>
    <row r="121" spans="1:10" ht="14.25">
      <c r="A121" s="535" t="s">
        <v>394</v>
      </c>
      <c r="B121" s="535"/>
      <c r="C121" s="535"/>
      <c r="D121" s="535"/>
      <c r="E121" s="400">
        <v>26800000</v>
      </c>
      <c r="F121" s="393"/>
      <c r="G121" s="393"/>
      <c r="H121" s="393"/>
      <c r="I121" s="393"/>
      <c r="J121" s="393"/>
    </row>
    <row r="122" spans="1:10" ht="14.25">
      <c r="A122" s="540" t="s">
        <v>94</v>
      </c>
      <c r="B122" s="541"/>
      <c r="C122" s="541"/>
      <c r="D122" s="542"/>
      <c r="E122" s="406">
        <f>F93+E121</f>
        <v>91488665</v>
      </c>
    </row>
  </sheetData>
  <mergeCells count="68">
    <mergeCell ref="A120:B120"/>
    <mergeCell ref="A121:D121"/>
    <mergeCell ref="A122:D122"/>
    <mergeCell ref="A115:B115"/>
    <mergeCell ref="A116:D116"/>
    <mergeCell ref="A117:B117"/>
    <mergeCell ref="A118:B118"/>
    <mergeCell ref="A119:B119"/>
    <mergeCell ref="A110:B110"/>
    <mergeCell ref="A111:B111"/>
    <mergeCell ref="A112:J112"/>
    <mergeCell ref="A113:B113"/>
    <mergeCell ref="A114:B114"/>
    <mergeCell ref="A99:J99"/>
    <mergeCell ref="A100:B100"/>
    <mergeCell ref="A101:B101"/>
    <mergeCell ref="A102:B102"/>
    <mergeCell ref="A103:B103"/>
    <mergeCell ref="A104:B104"/>
    <mergeCell ref="A105:B105"/>
    <mergeCell ref="A106:J106"/>
    <mergeCell ref="A107:B107"/>
    <mergeCell ref="A108:B108"/>
    <mergeCell ref="A109:B109"/>
    <mergeCell ref="A75:F75"/>
    <mergeCell ref="C96:C98"/>
    <mergeCell ref="A96:B98"/>
    <mergeCell ref="D96:D98"/>
    <mergeCell ref="E96:F97"/>
    <mergeCell ref="A84:B84"/>
    <mergeCell ref="A85:B85"/>
    <mergeCell ref="A76:B76"/>
    <mergeCell ref="A86:B86"/>
    <mergeCell ref="A87:B87"/>
    <mergeCell ref="A88:B88"/>
    <mergeCell ref="A89:B89"/>
    <mergeCell ref="A90:B90"/>
    <mergeCell ref="A91:B91"/>
    <mergeCell ref="A92:B92"/>
    <mergeCell ref="G96:H97"/>
    <mergeCell ref="A54:A55"/>
    <mergeCell ref="A56:A57"/>
    <mergeCell ref="C17:I17"/>
    <mergeCell ref="C18:I18"/>
    <mergeCell ref="F20:H20"/>
    <mergeCell ref="A48:A49"/>
    <mergeCell ref="A50:A51"/>
    <mergeCell ref="A52:A53"/>
    <mergeCell ref="A77:B77"/>
    <mergeCell ref="A78:B78"/>
    <mergeCell ref="A79:B79"/>
    <mergeCell ref="A80:B80"/>
    <mergeCell ref="A81:B81"/>
    <mergeCell ref="A82:B82"/>
    <mergeCell ref="A83:B83"/>
    <mergeCell ref="A93:E93"/>
    <mergeCell ref="C16:I16"/>
    <mergeCell ref="B3:I3"/>
    <mergeCell ref="B4:E4"/>
    <mergeCell ref="F4:I4"/>
    <mergeCell ref="B5:E9"/>
    <mergeCell ref="F5:I9"/>
    <mergeCell ref="C10:I10"/>
    <mergeCell ref="C11:I11"/>
    <mergeCell ref="C12:I12"/>
    <mergeCell ref="C13:I13"/>
    <mergeCell ref="C14:I14"/>
    <mergeCell ref="C15:I15"/>
  </mergeCells>
  <conditionalFormatting sqref="C37:W37 C46:W46">
    <cfRule type="expression" dxfId="3" priority="4">
      <formula>C37&gt;$C$22</formula>
    </cfRule>
  </conditionalFormatting>
  <conditionalFormatting sqref="C38:W44 Y52:XFD55">
    <cfRule type="expression" dxfId="2" priority="1">
      <formula>C$37&gt;$C$22</formula>
    </cfRule>
  </conditionalFormatting>
  <conditionalFormatting sqref="C47:W66">
    <cfRule type="expression" dxfId="1" priority="2">
      <formula>C$37&gt;$C$22</formula>
    </cfRule>
  </conditionalFormatting>
  <conditionalFormatting sqref="F69:W72">
    <cfRule type="expression" dxfId="0" priority="5">
      <formula>F$69&gt;$C$22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2"/>
  <sheetViews>
    <sheetView tabSelected="1" topLeftCell="B1" workbookViewId="0">
      <selection activeCell="B14" sqref="B14:G22"/>
    </sheetView>
  </sheetViews>
  <sheetFormatPr baseColWidth="10" defaultRowHeight="12.75"/>
  <cols>
    <col min="2" max="2" width="22.42578125" bestFit="1" customWidth="1"/>
    <col min="3" max="3" width="14.85546875" bestFit="1" customWidth="1"/>
    <col min="5" max="5" width="21.140625" customWidth="1"/>
    <col min="6" max="6" width="16.42578125" bestFit="1" customWidth="1"/>
    <col min="8" max="8" width="5.140625" customWidth="1"/>
    <col min="9" max="9" width="1" style="412" customWidth="1"/>
    <col min="10" max="10" width="4.140625" customWidth="1"/>
    <col min="12" max="12" width="14.85546875" bestFit="1" customWidth="1"/>
    <col min="14" max="14" width="16.7109375" customWidth="1"/>
    <col min="15" max="15" width="13.5703125" bestFit="1" customWidth="1"/>
  </cols>
  <sheetData>
    <row r="1" spans="2:16">
      <c r="K1" s="557" t="s">
        <v>398</v>
      </c>
      <c r="L1" s="557"/>
      <c r="M1" s="557"/>
      <c r="N1" s="557"/>
      <c r="O1" s="557"/>
      <c r="P1" s="557"/>
    </row>
    <row r="3" spans="2:16" ht="13.5">
      <c r="B3" s="545" t="s">
        <v>396</v>
      </c>
      <c r="C3" s="545"/>
      <c r="D3" s="545"/>
      <c r="E3" s="545"/>
      <c r="F3" s="545"/>
      <c r="G3" s="545"/>
      <c r="K3" s="546" t="s">
        <v>309</v>
      </c>
      <c r="L3" s="546"/>
      <c r="M3" s="546"/>
      <c r="N3" s="546"/>
      <c r="O3" s="546"/>
      <c r="P3" s="546"/>
    </row>
    <row r="4" spans="2:16">
      <c r="B4" s="547" t="s">
        <v>254</v>
      </c>
      <c r="C4" s="547"/>
      <c r="D4" s="547"/>
      <c r="E4" s="547" t="s">
        <v>255</v>
      </c>
      <c r="F4" s="547"/>
      <c r="G4" s="547"/>
      <c r="K4" s="547" t="s">
        <v>254</v>
      </c>
      <c r="L4" s="547"/>
      <c r="M4" s="547"/>
      <c r="N4" s="547" t="s">
        <v>255</v>
      </c>
      <c r="O4" s="547"/>
      <c r="P4" s="547"/>
    </row>
    <row r="5" spans="2:16">
      <c r="B5" s="328" t="s">
        <v>256</v>
      </c>
      <c r="C5" s="329">
        <f>'ECM-1'!C21</f>
        <v>124794610</v>
      </c>
      <c r="D5" s="330" t="s">
        <v>20</v>
      </c>
      <c r="E5" s="331" t="s">
        <v>257</v>
      </c>
      <c r="F5" s="332">
        <f>'ECM-1'!G21</f>
        <v>111.86316636181148</v>
      </c>
      <c r="G5" s="331" t="s">
        <v>27</v>
      </c>
      <c r="K5" s="328" t="s">
        <v>256</v>
      </c>
      <c r="L5" s="329">
        <f>'ECM-5 OTIS'!C21</f>
        <v>2547081874</v>
      </c>
      <c r="M5" s="330" t="s">
        <v>20</v>
      </c>
      <c r="N5" s="331" t="s">
        <v>257</v>
      </c>
      <c r="O5" s="332">
        <f>'ECM-5 OTIS'!G21</f>
        <v>8.2417970583288813</v>
      </c>
      <c r="P5" s="331" t="s">
        <v>27</v>
      </c>
    </row>
    <row r="6" spans="2:16">
      <c r="B6" s="328" t="s">
        <v>258</v>
      </c>
      <c r="C6" s="333">
        <v>5</v>
      </c>
      <c r="D6" s="330" t="s">
        <v>259</v>
      </c>
      <c r="E6" s="331" t="s">
        <v>260</v>
      </c>
      <c r="F6" s="334">
        <f>'ECM-1'!G22</f>
        <v>632906764.74446344</v>
      </c>
      <c r="G6" s="331" t="s">
        <v>20</v>
      </c>
      <c r="K6" s="328" t="s">
        <v>258</v>
      </c>
      <c r="L6" s="333">
        <v>25</v>
      </c>
      <c r="M6" s="330" t="s">
        <v>259</v>
      </c>
      <c r="N6" s="331" t="s">
        <v>260</v>
      </c>
      <c r="O6" s="334">
        <f>'ECM-5 OTIS'!G22</f>
        <v>4847500300.0035954</v>
      </c>
      <c r="P6" s="331" t="s">
        <v>20</v>
      </c>
    </row>
    <row r="7" spans="2:16">
      <c r="B7" s="328" t="s">
        <v>261</v>
      </c>
      <c r="C7" s="333">
        <v>5</v>
      </c>
      <c r="D7" s="330" t="s">
        <v>259</v>
      </c>
      <c r="E7" s="330" t="s">
        <v>262</v>
      </c>
      <c r="F7" s="335">
        <f>'ECM-1'!G23</f>
        <v>0.96642031976008069</v>
      </c>
      <c r="G7" s="330" t="s">
        <v>259</v>
      </c>
      <c r="K7" s="328" t="s">
        <v>261</v>
      </c>
      <c r="L7" s="333">
        <v>25</v>
      </c>
      <c r="M7" s="330" t="s">
        <v>259</v>
      </c>
      <c r="N7" s="344" t="s">
        <v>262</v>
      </c>
      <c r="O7" s="345">
        <f>'ECM-5 OTIS'!G23</f>
        <v>11.172237276592524</v>
      </c>
      <c r="P7" s="344" t="s">
        <v>263</v>
      </c>
    </row>
    <row r="8" spans="2:16">
      <c r="B8" s="548" t="s">
        <v>266</v>
      </c>
      <c r="C8" s="549"/>
      <c r="D8" s="550"/>
      <c r="E8" s="330" t="s">
        <v>264</v>
      </c>
      <c r="F8" s="336">
        <f>'ECM-1'!G24</f>
        <v>137868330.65362561</v>
      </c>
      <c r="G8" s="331" t="s">
        <v>20</v>
      </c>
      <c r="K8" s="547" t="s">
        <v>266</v>
      </c>
      <c r="L8" s="547"/>
      <c r="M8" s="547"/>
      <c r="N8" s="330" t="s">
        <v>264</v>
      </c>
      <c r="O8" s="336">
        <f>'ECM-5 OTIS'!G24</f>
        <v>163778415.68791106</v>
      </c>
      <c r="P8" s="342" t="s">
        <v>20</v>
      </c>
    </row>
    <row r="9" spans="2:16">
      <c r="B9" s="328" t="s">
        <v>2</v>
      </c>
      <c r="C9" s="337">
        <f>'ECM-1'!C27</f>
        <v>219421.44</v>
      </c>
      <c r="D9" s="330" t="s">
        <v>9</v>
      </c>
      <c r="E9" s="555" t="s">
        <v>265</v>
      </c>
      <c r="F9" s="553">
        <f>'ECM-1'!G25</f>
        <v>6.7055089103145864</v>
      </c>
      <c r="G9" s="551" t="s">
        <v>27</v>
      </c>
      <c r="K9" s="328" t="s">
        <v>2</v>
      </c>
      <c r="L9" s="337">
        <f>'ECM-5 OTIS'!C27</f>
        <v>236287</v>
      </c>
      <c r="M9" s="330" t="s">
        <v>9</v>
      </c>
      <c r="N9" s="558" t="s">
        <v>265</v>
      </c>
      <c r="O9" s="559">
        <f>'ECM-5 OTIS'!G25</f>
        <v>7.2209196325186022</v>
      </c>
      <c r="P9" s="560" t="s">
        <v>27</v>
      </c>
    </row>
    <row r="10" spans="2:16">
      <c r="B10" s="328" t="s">
        <v>269</v>
      </c>
      <c r="C10" s="333">
        <v>35</v>
      </c>
      <c r="D10" s="330" t="s">
        <v>27</v>
      </c>
      <c r="E10" s="556"/>
      <c r="F10" s="554"/>
      <c r="G10" s="552"/>
      <c r="K10" s="328" t="s">
        <v>269</v>
      </c>
      <c r="L10" s="337">
        <v>35</v>
      </c>
      <c r="M10" s="330" t="s">
        <v>27</v>
      </c>
      <c r="N10" s="558"/>
      <c r="O10" s="559"/>
      <c r="P10" s="560"/>
    </row>
    <row r="11" spans="2:16">
      <c r="B11" s="328" t="s">
        <v>270</v>
      </c>
      <c r="C11" s="333">
        <v>8</v>
      </c>
      <c r="D11" s="330" t="s">
        <v>27</v>
      </c>
      <c r="E11" s="338" t="s">
        <v>267</v>
      </c>
      <c r="F11" s="408">
        <f>'ECM-1'!G26</f>
        <v>27.647101440000004</v>
      </c>
      <c r="G11" s="409" t="s">
        <v>268</v>
      </c>
      <c r="K11" s="328" t="s">
        <v>270</v>
      </c>
      <c r="L11" s="337">
        <v>8</v>
      </c>
      <c r="M11" s="330" t="s">
        <v>27</v>
      </c>
      <c r="N11" s="338" t="s">
        <v>267</v>
      </c>
      <c r="O11" s="410">
        <f>'ECM-5 OTIS'!G26</f>
        <v>29.772162000000002</v>
      </c>
      <c r="P11" s="411" t="s">
        <v>268</v>
      </c>
    </row>
    <row r="12" spans="2:16" ht="13.5">
      <c r="K12" s="327"/>
      <c r="L12" s="327"/>
      <c r="M12" s="327"/>
      <c r="N12" s="327"/>
      <c r="O12" s="327"/>
      <c r="P12" s="327"/>
    </row>
    <row r="13" spans="2:16" ht="13.5">
      <c r="K13" s="327"/>
      <c r="L13" s="327"/>
      <c r="M13" s="327"/>
      <c r="N13" s="327"/>
      <c r="O13" s="327"/>
      <c r="P13" s="327"/>
    </row>
    <row r="14" spans="2:16" ht="13.5">
      <c r="B14" s="545" t="s">
        <v>397</v>
      </c>
      <c r="C14" s="545"/>
      <c r="D14" s="545"/>
      <c r="E14" s="545"/>
      <c r="F14" s="545"/>
      <c r="G14" s="545"/>
      <c r="K14" s="546" t="s">
        <v>308</v>
      </c>
      <c r="L14" s="546"/>
      <c r="M14" s="546"/>
      <c r="N14" s="546"/>
      <c r="O14" s="546"/>
      <c r="P14" s="546"/>
    </row>
    <row r="15" spans="2:16">
      <c r="B15" s="547" t="s">
        <v>254</v>
      </c>
      <c r="C15" s="547"/>
      <c r="D15" s="547"/>
      <c r="E15" s="547" t="s">
        <v>255</v>
      </c>
      <c r="F15" s="547"/>
      <c r="G15" s="547"/>
      <c r="K15" s="547" t="s">
        <v>254</v>
      </c>
      <c r="L15" s="547"/>
      <c r="M15" s="547"/>
      <c r="N15" s="547" t="s">
        <v>255</v>
      </c>
      <c r="O15" s="547"/>
      <c r="P15" s="547"/>
    </row>
    <row r="16" spans="2:16">
      <c r="B16" s="328" t="s">
        <v>256</v>
      </c>
      <c r="C16" s="329">
        <f>'ECM-9'!C21</f>
        <v>91488665</v>
      </c>
      <c r="D16" s="330" t="s">
        <v>20</v>
      </c>
      <c r="E16" s="331" t="s">
        <v>257</v>
      </c>
      <c r="F16" s="332">
        <f>'ECM-9'!G21</f>
        <v>30.012207048232952</v>
      </c>
      <c r="G16" s="331" t="s">
        <v>27</v>
      </c>
      <c r="K16" s="328" t="s">
        <v>256</v>
      </c>
      <c r="L16" s="329">
        <f>'ECM-5 Otras'!C21</f>
        <v>1907040000</v>
      </c>
      <c r="M16" s="330" t="s">
        <v>20</v>
      </c>
      <c r="N16" s="331" t="s">
        <v>257</v>
      </c>
      <c r="O16" s="332">
        <f>'ECM-5 Otras'!G21</f>
        <v>4.2954899045860584</v>
      </c>
      <c r="P16" s="331" t="s">
        <v>27</v>
      </c>
    </row>
    <row r="17" spans="2:16">
      <c r="B17" s="328" t="s">
        <v>258</v>
      </c>
      <c r="C17" s="333">
        <f>'ECM-9'!C22</f>
        <v>5</v>
      </c>
      <c r="D17" s="330" t="s">
        <v>259</v>
      </c>
      <c r="E17" s="331" t="s">
        <v>260</v>
      </c>
      <c r="F17" s="334">
        <f>'ECM-9'!G22</f>
        <v>125668215.84196487</v>
      </c>
      <c r="G17" s="331" t="s">
        <v>20</v>
      </c>
      <c r="K17" s="328" t="s">
        <v>258</v>
      </c>
      <c r="L17" s="333">
        <v>25</v>
      </c>
      <c r="M17" s="330" t="s">
        <v>259</v>
      </c>
      <c r="N17" s="331" t="s">
        <v>260</v>
      </c>
      <c r="O17" s="334">
        <f>'ECM-5 Otras'!G22</f>
        <v>1589559138.9718623</v>
      </c>
      <c r="P17" s="331" t="s">
        <v>20</v>
      </c>
    </row>
    <row r="18" spans="2:16">
      <c r="B18" s="328" t="s">
        <v>261</v>
      </c>
      <c r="C18" s="333">
        <f>'ECM-9'!C23</f>
        <v>10</v>
      </c>
      <c r="D18" s="330" t="s">
        <v>259</v>
      </c>
      <c r="E18" s="344" t="s">
        <v>262</v>
      </c>
      <c r="F18" s="345">
        <f>'ECM-9'!G23</f>
        <v>2.5087321381678001</v>
      </c>
      <c r="G18" s="344" t="s">
        <v>296</v>
      </c>
      <c r="K18" s="328" t="s">
        <v>261</v>
      </c>
      <c r="L18" s="333">
        <v>25</v>
      </c>
      <c r="M18" s="330" t="s">
        <v>259</v>
      </c>
      <c r="N18" s="330" t="s">
        <v>262</v>
      </c>
      <c r="O18" s="335">
        <f>'ECM-5 Otras'!G23</f>
        <v>16.314227145548216</v>
      </c>
      <c r="P18" s="330" t="s">
        <v>263</v>
      </c>
    </row>
    <row r="19" spans="2:16">
      <c r="B19" s="547" t="s">
        <v>266</v>
      </c>
      <c r="C19" s="547"/>
      <c r="D19" s="547"/>
      <c r="E19" s="330" t="s">
        <v>264</v>
      </c>
      <c r="F19" s="336">
        <f>'ECM-9'!G24</f>
        <v>61681567.141320005</v>
      </c>
      <c r="G19" s="342" t="s">
        <v>20</v>
      </c>
      <c r="K19" s="547" t="s">
        <v>266</v>
      </c>
      <c r="L19" s="547"/>
      <c r="M19" s="547"/>
      <c r="N19" s="330" t="s">
        <v>264</v>
      </c>
      <c r="O19" s="336">
        <f>'ECM-5 Otras'!G24</f>
        <v>80847081.751589999</v>
      </c>
      <c r="P19" s="331" t="s">
        <v>20</v>
      </c>
    </row>
    <row r="20" spans="2:16">
      <c r="B20" s="328" t="s">
        <v>2</v>
      </c>
      <c r="C20" s="337">
        <f>'ECM-9'!C27</f>
        <v>98168</v>
      </c>
      <c r="D20" s="330" t="s">
        <v>9</v>
      </c>
      <c r="E20" s="558" t="s">
        <v>265</v>
      </c>
      <c r="F20" s="559">
        <f>'ECM-9'!G25</f>
        <v>3.0000094735854539</v>
      </c>
      <c r="G20" s="560" t="s">
        <v>27</v>
      </c>
      <c r="K20" s="328" t="s">
        <v>2</v>
      </c>
      <c r="L20" s="337">
        <f>'ECM-5 Otras'!C27</f>
        <v>116640</v>
      </c>
      <c r="M20" s="330" t="s">
        <v>9</v>
      </c>
      <c r="N20" s="558" t="s">
        <v>265</v>
      </c>
      <c r="O20" s="559">
        <f>'ECM-5 Otras'!G25</f>
        <v>3.5645129268092184</v>
      </c>
      <c r="P20" s="561" t="s">
        <v>27</v>
      </c>
    </row>
    <row r="21" spans="2:16">
      <c r="B21" s="328" t="s">
        <v>269</v>
      </c>
      <c r="C21" s="341">
        <v>0.35</v>
      </c>
      <c r="D21" s="330" t="s">
        <v>27</v>
      </c>
      <c r="E21" s="558"/>
      <c r="F21" s="559"/>
      <c r="G21" s="560"/>
      <c r="K21" s="328" t="s">
        <v>269</v>
      </c>
      <c r="L21" s="341">
        <v>0.35</v>
      </c>
      <c r="M21" s="330" t="s">
        <v>27</v>
      </c>
      <c r="N21" s="558"/>
      <c r="O21" s="559"/>
      <c r="P21" s="561"/>
    </row>
    <row r="22" spans="2:16">
      <c r="B22" s="328" t="s">
        <v>270</v>
      </c>
      <c r="C22" s="341">
        <v>0.08</v>
      </c>
      <c r="D22" s="330" t="s">
        <v>27</v>
      </c>
      <c r="E22" s="338" t="s">
        <v>267</v>
      </c>
      <c r="F22" s="339">
        <f>'ECM-9'!G26</f>
        <v>12.369168</v>
      </c>
      <c r="G22" s="343" t="s">
        <v>268</v>
      </c>
      <c r="K22" s="328" t="s">
        <v>270</v>
      </c>
      <c r="L22" s="341">
        <v>0.08</v>
      </c>
      <c r="M22" s="330" t="s">
        <v>27</v>
      </c>
      <c r="N22" s="338" t="s">
        <v>267</v>
      </c>
      <c r="O22" s="339">
        <f>'ECM-5 Otras'!G26</f>
        <v>14.696639999999999</v>
      </c>
      <c r="P22" s="340" t="s">
        <v>268</v>
      </c>
    </row>
  </sheetData>
  <mergeCells count="29">
    <mergeCell ref="K1:P1"/>
    <mergeCell ref="E20:E21"/>
    <mergeCell ref="F20:F21"/>
    <mergeCell ref="G20:G21"/>
    <mergeCell ref="B15:D15"/>
    <mergeCell ref="B19:D19"/>
    <mergeCell ref="N20:N21"/>
    <mergeCell ref="O20:O21"/>
    <mergeCell ref="P20:P21"/>
    <mergeCell ref="K4:M4"/>
    <mergeCell ref="K8:M8"/>
    <mergeCell ref="N4:P4"/>
    <mergeCell ref="N9:N10"/>
    <mergeCell ref="O9:O10"/>
    <mergeCell ref="P9:P10"/>
    <mergeCell ref="K14:P14"/>
    <mergeCell ref="B3:G3"/>
    <mergeCell ref="K3:P3"/>
    <mergeCell ref="K15:M15"/>
    <mergeCell ref="N15:P15"/>
    <mergeCell ref="K19:M19"/>
    <mergeCell ref="E15:G15"/>
    <mergeCell ref="B8:D8"/>
    <mergeCell ref="G9:G10"/>
    <mergeCell ref="F9:F10"/>
    <mergeCell ref="E9:E10"/>
    <mergeCell ref="B14:G14"/>
    <mergeCell ref="E4:G4"/>
    <mergeCell ref="B4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rgb="FFFFC000"/>
  </sheetPr>
  <dimension ref="C2:I40"/>
  <sheetViews>
    <sheetView zoomScale="130" zoomScaleNormal="130" workbookViewId="0">
      <selection activeCell="G17" sqref="G17"/>
    </sheetView>
  </sheetViews>
  <sheetFormatPr baseColWidth="10" defaultColWidth="11" defaultRowHeight="12.75"/>
  <cols>
    <col min="3" max="3" width="23" bestFit="1" customWidth="1"/>
    <col min="5" max="5" width="17.28515625" customWidth="1"/>
    <col min="8" max="8" width="16.28515625" bestFit="1" customWidth="1"/>
    <col min="9" max="9" width="26" bestFit="1" customWidth="1"/>
  </cols>
  <sheetData>
    <row r="2" spans="3:9">
      <c r="E2" s="19" t="s">
        <v>25</v>
      </c>
    </row>
    <row r="3" spans="3:9">
      <c r="C3" s="19" t="s">
        <v>36</v>
      </c>
      <c r="E3" s="19" t="s">
        <v>37</v>
      </c>
      <c r="F3" s="19" t="s">
        <v>28</v>
      </c>
      <c r="G3" s="19" t="s">
        <v>29</v>
      </c>
      <c r="H3" s="19" t="s">
        <v>31</v>
      </c>
      <c r="I3" s="19" t="s">
        <v>32</v>
      </c>
    </row>
    <row r="4" spans="3:9">
      <c r="C4" s="19" t="s">
        <v>8</v>
      </c>
      <c r="E4" s="19" t="s">
        <v>38</v>
      </c>
      <c r="F4" s="19" t="s">
        <v>39</v>
      </c>
      <c r="G4" s="19" t="s">
        <v>30</v>
      </c>
      <c r="H4" s="19" t="s">
        <v>40</v>
      </c>
      <c r="I4" s="19" t="s">
        <v>33</v>
      </c>
    </row>
    <row r="5" spans="3:9">
      <c r="C5" s="19" t="s">
        <v>41</v>
      </c>
      <c r="E5" s="19" t="s">
        <v>42</v>
      </c>
      <c r="F5" s="19" t="s">
        <v>43</v>
      </c>
      <c r="I5" t="s">
        <v>44</v>
      </c>
    </row>
    <row r="6" spans="3:9">
      <c r="C6" s="19" t="s">
        <v>45</v>
      </c>
      <c r="E6" s="19" t="s">
        <v>26</v>
      </c>
      <c r="I6" t="s">
        <v>35</v>
      </c>
    </row>
    <row r="7" spans="3:9">
      <c r="C7" s="19" t="s">
        <v>46</v>
      </c>
      <c r="E7" s="19" t="s">
        <v>47</v>
      </c>
      <c r="I7" t="s">
        <v>34</v>
      </c>
    </row>
    <row r="8" spans="3:9">
      <c r="C8" s="19" t="s">
        <v>48</v>
      </c>
      <c r="E8" s="19" t="s">
        <v>49</v>
      </c>
      <c r="I8" t="s">
        <v>50</v>
      </c>
    </row>
    <row r="9" spans="3:9">
      <c r="C9" s="19" t="s">
        <v>51</v>
      </c>
      <c r="I9" t="s">
        <v>52</v>
      </c>
    </row>
    <row r="10" spans="3:9">
      <c r="C10" s="19" t="s">
        <v>53</v>
      </c>
      <c r="I10" t="s">
        <v>54</v>
      </c>
    </row>
    <row r="11" spans="3:9">
      <c r="I11" t="s">
        <v>55</v>
      </c>
    </row>
    <row r="12" spans="3:9">
      <c r="I12" t="s">
        <v>56</v>
      </c>
    </row>
    <row r="13" spans="3:9">
      <c r="C13" s="76" t="s">
        <v>57</v>
      </c>
    </row>
    <row r="14" spans="3:9">
      <c r="C14" s="77" t="s">
        <v>58</v>
      </c>
    </row>
    <row r="15" spans="3:9">
      <c r="C15" s="77" t="s">
        <v>59</v>
      </c>
    </row>
    <row r="16" spans="3:9">
      <c r="C16" s="77" t="s">
        <v>60</v>
      </c>
    </row>
    <row r="17" spans="3:3">
      <c r="C17" s="77" t="s">
        <v>61</v>
      </c>
    </row>
    <row r="18" spans="3:3">
      <c r="C18" s="77" t="s">
        <v>62</v>
      </c>
    </row>
    <row r="19" spans="3:3">
      <c r="C19" s="77" t="s">
        <v>63</v>
      </c>
    </row>
    <row r="20" spans="3:3">
      <c r="C20" s="77" t="s">
        <v>64</v>
      </c>
    </row>
    <row r="21" spans="3:3">
      <c r="C21" s="77" t="s">
        <v>65</v>
      </c>
    </row>
    <row r="23" spans="3:3">
      <c r="C23" s="76" t="s">
        <v>66</v>
      </c>
    </row>
    <row r="24" spans="3:3">
      <c r="C24" s="77" t="s">
        <v>67</v>
      </c>
    </row>
    <row r="25" spans="3:3">
      <c r="C25" s="77" t="s">
        <v>68</v>
      </c>
    </row>
    <row r="26" spans="3:3">
      <c r="C26" s="77" t="s">
        <v>69</v>
      </c>
    </row>
    <row r="27" spans="3:3">
      <c r="C27" s="77" t="s">
        <v>70</v>
      </c>
    </row>
    <row r="28" spans="3:3">
      <c r="C28" s="77" t="s">
        <v>71</v>
      </c>
    </row>
    <row r="30" spans="3:3">
      <c r="C30" s="76" t="s">
        <v>72</v>
      </c>
    </row>
    <row r="31" spans="3:3">
      <c r="C31" s="77" t="s">
        <v>73</v>
      </c>
    </row>
    <row r="32" spans="3:3">
      <c r="C32" s="77" t="s">
        <v>74</v>
      </c>
    </row>
    <row r="34" spans="3:3">
      <c r="C34" s="76" t="s">
        <v>75</v>
      </c>
    </row>
    <row r="35" spans="3:3">
      <c r="C35" s="77" t="s">
        <v>76</v>
      </c>
    </row>
    <row r="36" spans="3:3">
      <c r="C36" s="77" t="s">
        <v>77</v>
      </c>
    </row>
    <row r="37" spans="3:3">
      <c r="C37" s="78"/>
    </row>
    <row r="38" spans="3:3">
      <c r="C38" s="76" t="s">
        <v>78</v>
      </c>
    </row>
    <row r="39" spans="3:3">
      <c r="C39" s="77" t="s">
        <v>79</v>
      </c>
    </row>
    <row r="40" spans="3:3">
      <c r="C40" s="77" t="s">
        <v>80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>
    <tabColor rgb="FFFFC000"/>
  </sheetPr>
  <dimension ref="A1:P64"/>
  <sheetViews>
    <sheetView showGridLines="0" topLeftCell="C1" zoomScale="80" zoomScaleNormal="80" workbookViewId="0">
      <selection activeCell="M16" sqref="M16"/>
    </sheetView>
  </sheetViews>
  <sheetFormatPr baseColWidth="10" defaultColWidth="11.42578125" defaultRowHeight="12.75"/>
  <cols>
    <col min="1" max="1" width="21.85546875" customWidth="1"/>
    <col min="2" max="2" width="11.42578125" customWidth="1"/>
    <col min="3" max="3" width="15.42578125" customWidth="1"/>
    <col min="4" max="4" width="19.42578125" customWidth="1"/>
    <col min="5" max="5" width="13" customWidth="1"/>
    <col min="6" max="6" width="6.5703125" bestFit="1" customWidth="1"/>
    <col min="7" max="7" width="18.42578125" bestFit="1" customWidth="1"/>
    <col min="8" max="8" width="18.28515625" customWidth="1"/>
    <col min="9" max="9" width="18.42578125" bestFit="1" customWidth="1"/>
    <col min="10" max="10" width="4.85546875" customWidth="1"/>
    <col min="11" max="11" width="13.140625" bestFit="1" customWidth="1"/>
    <col min="14" max="14" width="16.5703125" bestFit="1" customWidth="1"/>
    <col min="16" max="16" width="1" style="308" customWidth="1"/>
  </cols>
  <sheetData>
    <row r="1" spans="1:16">
      <c r="A1" s="1" t="s">
        <v>98</v>
      </c>
      <c r="B1" s="431" t="str">
        <f>+'Unidades de Trabajo'!B4</f>
        <v>kWh</v>
      </c>
      <c r="C1" s="432"/>
      <c r="D1" s="432"/>
      <c r="E1" s="433"/>
      <c r="G1" s="434" t="str">
        <f>+'Unidades de Trabajo'!B4</f>
        <v>kWh</v>
      </c>
      <c r="H1" s="434"/>
      <c r="I1" s="434"/>
      <c r="K1" s="434" t="str">
        <f>" "&amp;'Unidades de Trabajo'!B9&amp;" /"&amp;'Unidades de Trabajo'!B4&amp;""</f>
        <v xml:space="preserve"> COP /kWh</v>
      </c>
      <c r="L1" s="434"/>
      <c r="M1" s="434"/>
    </row>
    <row r="2" spans="1:16" s="15" customFormat="1" ht="33" customHeight="1">
      <c r="B2" s="428"/>
      <c r="C2" s="428"/>
      <c r="D2" s="428"/>
      <c r="E2" s="429"/>
      <c r="F2" s="9"/>
      <c r="G2" s="430"/>
      <c r="H2" s="430"/>
      <c r="I2" s="430"/>
      <c r="K2" s="430"/>
      <c r="L2" s="430"/>
      <c r="M2" s="430"/>
      <c r="P2" s="309"/>
    </row>
    <row r="3" spans="1:16" s="15" customFormat="1" ht="10.5">
      <c r="B3" s="1">
        <v>2021</v>
      </c>
      <c r="C3" s="1">
        <v>2022</v>
      </c>
      <c r="D3" s="1">
        <v>2023</v>
      </c>
      <c r="E3" s="8" t="s">
        <v>81</v>
      </c>
      <c r="F3" s="10"/>
      <c r="G3" s="1">
        <v>2021</v>
      </c>
      <c r="H3" s="1">
        <v>2022</v>
      </c>
      <c r="I3" s="1">
        <v>2023</v>
      </c>
      <c r="K3" s="1">
        <v>2021</v>
      </c>
      <c r="L3" s="1">
        <v>2022</v>
      </c>
      <c r="M3" s="1">
        <v>2023</v>
      </c>
      <c r="P3" s="309"/>
    </row>
    <row r="4" spans="1:16" s="15" customFormat="1" ht="10.5">
      <c r="A4" s="1" t="s">
        <v>82</v>
      </c>
      <c r="B4" s="70">
        <v>253000</v>
      </c>
      <c r="C4" s="70">
        <v>272000</v>
      </c>
      <c r="D4" s="70">
        <v>276000</v>
      </c>
      <c r="E4" s="17">
        <f>AVERAGE(B4:D4)</f>
        <v>267000</v>
      </c>
      <c r="F4" s="7"/>
      <c r="G4" s="87">
        <f t="shared" ref="G4:I8" si="0">+B4*K4</f>
        <v>108841308.40000001</v>
      </c>
      <c r="H4" s="87">
        <f t="shared" si="0"/>
        <v>133350230.39999999</v>
      </c>
      <c r="I4" s="87">
        <f t="shared" si="0"/>
        <v>160143038.39999998</v>
      </c>
      <c r="K4" s="96">
        <v>430.20280000000002</v>
      </c>
      <c r="L4" s="96">
        <v>490.25819999999999</v>
      </c>
      <c r="M4" s="96">
        <v>580.22839999999997</v>
      </c>
      <c r="O4" s="99"/>
      <c r="P4" s="309"/>
    </row>
    <row r="5" spans="1:16" s="15" customFormat="1" ht="10.5">
      <c r="A5" s="1" t="s">
        <v>83</v>
      </c>
      <c r="B5" s="70">
        <v>261000</v>
      </c>
      <c r="C5" s="70">
        <v>297000</v>
      </c>
      <c r="D5" s="70">
        <v>290000</v>
      </c>
      <c r="E5" s="17">
        <f t="shared" ref="E5:E15" si="1">AVERAGE(B5:D5)</f>
        <v>282666.66666666669</v>
      </c>
      <c r="F5" s="7"/>
      <c r="G5" s="87">
        <f t="shared" si="0"/>
        <v>112844341.8</v>
      </c>
      <c r="H5" s="87">
        <f t="shared" si="0"/>
        <v>148518829.80000001</v>
      </c>
      <c r="I5" s="87">
        <f t="shared" si="0"/>
        <v>170117161</v>
      </c>
      <c r="K5" s="96">
        <v>432.35379999999998</v>
      </c>
      <c r="L5" s="96">
        <v>500.0634</v>
      </c>
      <c r="M5" s="96">
        <v>586.61090000000002</v>
      </c>
      <c r="P5" s="309"/>
    </row>
    <row r="6" spans="1:16" s="15" customFormat="1" ht="10.5">
      <c r="A6" s="1" t="s">
        <v>84</v>
      </c>
      <c r="B6" s="70">
        <v>208597</v>
      </c>
      <c r="C6" s="70">
        <v>265000</v>
      </c>
      <c r="D6" s="70">
        <v>256000</v>
      </c>
      <c r="E6" s="17">
        <f t="shared" si="1"/>
        <v>243199</v>
      </c>
      <c r="F6" s="7"/>
      <c r="G6" s="87">
        <f t="shared" si="0"/>
        <v>90638650.613199994</v>
      </c>
      <c r="H6" s="87">
        <f t="shared" si="0"/>
        <v>134504566</v>
      </c>
      <c r="I6" s="87">
        <f t="shared" si="0"/>
        <v>152575155.20000002</v>
      </c>
      <c r="K6" s="96">
        <v>434.51560000000001</v>
      </c>
      <c r="L6" s="96">
        <v>507.56439999999998</v>
      </c>
      <c r="M6" s="96">
        <v>595.99670000000003</v>
      </c>
      <c r="P6" s="309"/>
    </row>
    <row r="7" spans="1:16" s="15" customFormat="1" ht="10.5">
      <c r="A7" s="1" t="s">
        <v>85</v>
      </c>
      <c r="B7" s="70">
        <v>281672</v>
      </c>
      <c r="C7" s="70">
        <v>271000</v>
      </c>
      <c r="D7" s="70">
        <v>253000</v>
      </c>
      <c r="E7" s="17">
        <f t="shared" si="1"/>
        <v>268557.33333333331</v>
      </c>
      <c r="F7" s="7"/>
      <c r="G7" s="87">
        <f t="shared" si="0"/>
        <v>127286478.2792</v>
      </c>
      <c r="H7" s="87">
        <f t="shared" si="0"/>
        <v>139613210.90000001</v>
      </c>
      <c r="I7" s="87">
        <f t="shared" si="0"/>
        <v>153953687.80000001</v>
      </c>
      <c r="K7" s="96">
        <v>451.89609999999999</v>
      </c>
      <c r="L7" s="96">
        <v>515.17790000000002</v>
      </c>
      <c r="M7" s="96">
        <v>608.51260000000002</v>
      </c>
      <c r="P7" s="309"/>
    </row>
    <row r="8" spans="1:16" s="15" customFormat="1" ht="10.5">
      <c r="A8" s="1" t="s">
        <v>86</v>
      </c>
      <c r="B8" s="70">
        <v>275000</v>
      </c>
      <c r="C8" s="70">
        <v>269000</v>
      </c>
      <c r="D8" s="70">
        <v>255000</v>
      </c>
      <c r="E8" s="17">
        <f t="shared" si="1"/>
        <v>266333.33333333331</v>
      </c>
      <c r="F8" s="7"/>
      <c r="G8" s="87">
        <f t="shared" si="0"/>
        <v>125017090</v>
      </c>
      <c r="H8" s="87">
        <f t="shared" si="0"/>
        <v>141077345.90000001</v>
      </c>
      <c r="I8" s="87">
        <f t="shared" si="0"/>
        <v>158274139.5</v>
      </c>
      <c r="K8" s="96">
        <v>454.60759999999999</v>
      </c>
      <c r="L8" s="96">
        <v>524.4511</v>
      </c>
      <c r="M8" s="96">
        <v>620.68290000000002</v>
      </c>
      <c r="P8" s="309"/>
    </row>
    <row r="9" spans="1:16" s="15" customFormat="1" ht="10.5">
      <c r="A9" s="1" t="s">
        <v>87</v>
      </c>
      <c r="B9" s="70">
        <v>248000</v>
      </c>
      <c r="C9" s="70">
        <v>273000</v>
      </c>
      <c r="D9" s="70"/>
      <c r="E9" s="17">
        <f t="shared" si="1"/>
        <v>260500</v>
      </c>
      <c r="F9" s="7"/>
      <c r="G9" s="87">
        <f t="shared" ref="G9:H15" si="2">+B9*K9</f>
        <v>113419129.59999999</v>
      </c>
      <c r="H9" s="87">
        <f t="shared" si="2"/>
        <v>145752297.59999999</v>
      </c>
      <c r="I9" s="87"/>
      <c r="K9" s="96">
        <v>457.33519999999999</v>
      </c>
      <c r="L9" s="96">
        <v>533.89120000000003</v>
      </c>
      <c r="M9" s="96">
        <f>K37</f>
        <v>628.42329999999993</v>
      </c>
      <c r="P9" s="309"/>
    </row>
    <row r="10" spans="1:16" s="15" customFormat="1" ht="10.5">
      <c r="A10" s="1" t="s">
        <v>88</v>
      </c>
      <c r="B10" s="70">
        <v>293000</v>
      </c>
      <c r="C10" s="70">
        <v>283000</v>
      </c>
      <c r="D10" s="70"/>
      <c r="E10" s="17">
        <f t="shared" si="1"/>
        <v>288000</v>
      </c>
      <c r="F10" s="7"/>
      <c r="G10" s="87">
        <f t="shared" si="2"/>
        <v>134803206</v>
      </c>
      <c r="H10" s="87">
        <f t="shared" si="2"/>
        <v>153810839.60000002</v>
      </c>
      <c r="I10" s="87"/>
      <c r="K10" s="96">
        <v>460.07920136518771</v>
      </c>
      <c r="L10" s="96">
        <v>543.50120000000004</v>
      </c>
      <c r="M10" s="96">
        <f t="shared" ref="M10:M14" si="3">K38</f>
        <v>635.72399999999993</v>
      </c>
      <c r="P10" s="309"/>
    </row>
    <row r="11" spans="1:16" s="15" customFormat="1" ht="10.5">
      <c r="A11" s="1" t="s">
        <v>89</v>
      </c>
      <c r="B11" s="70">
        <v>260000</v>
      </c>
      <c r="C11" s="70">
        <v>274000</v>
      </c>
      <c r="D11" s="70"/>
      <c r="E11" s="17">
        <f t="shared" si="1"/>
        <v>267000</v>
      </c>
      <c r="F11" s="7"/>
      <c r="G11" s="87">
        <f t="shared" si="2"/>
        <v>120338322</v>
      </c>
      <c r="H11" s="87">
        <f t="shared" si="2"/>
        <v>151897708.80000001</v>
      </c>
      <c r="I11" s="87"/>
      <c r="K11" s="96">
        <v>462.83969999999999</v>
      </c>
      <c r="L11" s="96">
        <v>554.37120000000004</v>
      </c>
      <c r="M11" s="96">
        <f t="shared" si="3"/>
        <v>643.02469999999994</v>
      </c>
      <c r="P11" s="309"/>
    </row>
    <row r="12" spans="1:16" s="15" customFormat="1" ht="10.5">
      <c r="A12" s="1" t="s">
        <v>90</v>
      </c>
      <c r="B12" s="70">
        <v>276000</v>
      </c>
      <c r="C12" s="70">
        <v>288000</v>
      </c>
      <c r="D12" s="70"/>
      <c r="E12" s="17">
        <f t="shared" si="1"/>
        <v>282000</v>
      </c>
      <c r="F12" s="7"/>
      <c r="G12" s="87">
        <f t="shared" si="2"/>
        <v>128510209</v>
      </c>
      <c r="H12" s="87">
        <f t="shared" si="2"/>
        <v>162852076.80000001</v>
      </c>
      <c r="I12" s="87"/>
      <c r="K12" s="96">
        <v>465.61669927536229</v>
      </c>
      <c r="L12" s="96">
        <v>565.45860000000005</v>
      </c>
      <c r="M12" s="96">
        <f t="shared" si="3"/>
        <v>650.32539999999995</v>
      </c>
      <c r="P12" s="309"/>
    </row>
    <row r="13" spans="1:16" s="15" customFormat="1" ht="10.5">
      <c r="A13" s="1" t="s">
        <v>91</v>
      </c>
      <c r="B13" s="70">
        <v>285000</v>
      </c>
      <c r="C13" s="70">
        <v>250000</v>
      </c>
      <c r="D13" s="70"/>
      <c r="E13" s="17">
        <f t="shared" si="1"/>
        <v>267500</v>
      </c>
      <c r="F13" s="7"/>
      <c r="G13" s="87">
        <f t="shared" si="2"/>
        <v>133496964</v>
      </c>
      <c r="H13" s="87">
        <f t="shared" si="2"/>
        <v>144191950</v>
      </c>
      <c r="I13" s="87"/>
      <c r="K13" s="96">
        <v>468.41039999999998</v>
      </c>
      <c r="L13" s="96">
        <v>576.76779999999997</v>
      </c>
      <c r="M13" s="96">
        <f t="shared" si="3"/>
        <v>657.62609999999995</v>
      </c>
      <c r="P13" s="309"/>
    </row>
    <row r="14" spans="1:16" s="15" customFormat="1" ht="10.5">
      <c r="A14" s="1" t="s">
        <v>92</v>
      </c>
      <c r="B14" s="70">
        <v>283000</v>
      </c>
      <c r="C14" s="70">
        <v>275000</v>
      </c>
      <c r="D14" s="70"/>
      <c r="E14" s="17">
        <f t="shared" si="1"/>
        <v>279000</v>
      </c>
      <c r="F14" s="7"/>
      <c r="G14" s="87">
        <f t="shared" si="2"/>
        <v>133355515</v>
      </c>
      <c r="H14" s="87">
        <f t="shared" si="2"/>
        <v>159562810</v>
      </c>
      <c r="I14" s="87"/>
      <c r="K14" s="96">
        <v>471.22090106007067</v>
      </c>
      <c r="L14" s="96">
        <v>580.22839999999997</v>
      </c>
      <c r="M14" s="96">
        <f t="shared" si="3"/>
        <v>664.92679999999996</v>
      </c>
      <c r="P14" s="309"/>
    </row>
    <row r="15" spans="1:16" s="15" customFormat="1" ht="10.5">
      <c r="A15" s="1" t="s">
        <v>93</v>
      </c>
      <c r="B15" s="70">
        <v>303000</v>
      </c>
      <c r="C15" s="70">
        <v>298000</v>
      </c>
      <c r="D15" s="70"/>
      <c r="E15" s="17">
        <f t="shared" si="1"/>
        <v>300500</v>
      </c>
      <c r="F15" s="7"/>
      <c r="G15" s="87">
        <f t="shared" si="2"/>
        <v>145635526</v>
      </c>
      <c r="H15" s="87">
        <f t="shared" si="2"/>
        <v>172908063.19999999</v>
      </c>
      <c r="I15" s="87"/>
      <c r="K15" s="96">
        <v>480.64530033003302</v>
      </c>
      <c r="L15" s="96">
        <v>580.22839999999997</v>
      </c>
      <c r="M15" s="96">
        <f>K43</f>
        <v>672.22749999999996</v>
      </c>
      <c r="P15" s="309"/>
    </row>
    <row r="16" spans="1:16" s="15" customFormat="1" ht="10.5">
      <c r="A16" s="1" t="s">
        <v>94</v>
      </c>
      <c r="B16" s="18">
        <f>SUM(B4:B15)</f>
        <v>3227269</v>
      </c>
      <c r="C16" s="18">
        <f>SUM(C4:C15)</f>
        <v>3315000</v>
      </c>
      <c r="D16" s="18">
        <f t="shared" ref="D16" si="4">SUM(D4:D15)</f>
        <v>1330000</v>
      </c>
      <c r="E16" s="18">
        <f>SUM(E4:E15)</f>
        <v>3272256.333333333</v>
      </c>
      <c r="F16" s="3"/>
      <c r="G16" s="88">
        <f>SUM(G4:G15)</f>
        <v>1474186740.6924</v>
      </c>
      <c r="H16" s="88">
        <f>SUM(H4:H15)</f>
        <v>1788039929</v>
      </c>
      <c r="I16" s="88">
        <f>SUM(I4:I15)</f>
        <v>795063181.9000001</v>
      </c>
      <c r="K16" s="277">
        <f t="shared" ref="K16:L16" si="5">AVERAGE(K4:K15)</f>
        <v>455.81027516922114</v>
      </c>
      <c r="L16" s="277">
        <f t="shared" si="5"/>
        <v>539.33015</v>
      </c>
      <c r="M16" s="277">
        <f>AVERAGE(M4:M15)</f>
        <v>628.69244166666658</v>
      </c>
      <c r="P16" s="309"/>
    </row>
    <row r="17" spans="1:16" s="15" customFormat="1" ht="10.5">
      <c r="A17" s="1" t="s">
        <v>81</v>
      </c>
      <c r="B17" s="18">
        <f>AVERAGE(B4:B15)</f>
        <v>268939.08333333331</v>
      </c>
      <c r="C17" s="18">
        <f>AVERAGE(C4:C15)</f>
        <v>276250</v>
      </c>
      <c r="D17" s="18">
        <f>AVERAGE(D4:D15)</f>
        <v>266000</v>
      </c>
      <c r="E17" s="18">
        <f>AVERAGE(E4:E15)</f>
        <v>272688.02777777775</v>
      </c>
      <c r="F17" s="11"/>
      <c r="G17" s="88">
        <f t="shared" ref="G17:I17" si="6">AVERAGE(G4:G15)</f>
        <v>122848895.05769999</v>
      </c>
      <c r="H17" s="88">
        <f t="shared" si="6"/>
        <v>149003327.41666666</v>
      </c>
      <c r="I17" s="88">
        <f t="shared" si="6"/>
        <v>159012636.38000003</v>
      </c>
      <c r="J17" s="71" t="s">
        <v>99</v>
      </c>
      <c r="K17" s="277"/>
      <c r="L17" s="277"/>
      <c r="M17" s="277">
        <f>AVERAGE(L4:L15,M4:M8)</f>
        <v>556.70548823529407</v>
      </c>
      <c r="N17" s="81"/>
      <c r="P17" s="309"/>
    </row>
    <row r="18" spans="1:16" s="15" customFormat="1" ht="10.5">
      <c r="F18" s="11"/>
      <c r="I18" s="4"/>
      <c r="J18" s="79"/>
      <c r="K18" s="80"/>
      <c r="L18" s="80"/>
      <c r="M18" s="277">
        <v>656.25</v>
      </c>
      <c r="P18" s="309"/>
    </row>
    <row r="19" spans="1:16" s="15" customFormat="1" ht="37.5" customHeight="1">
      <c r="C19" s="44" t="s">
        <v>2</v>
      </c>
      <c r="D19" s="45" t="s">
        <v>27</v>
      </c>
      <c r="E19" s="1" t="str">
        <f>B1&amp;"/mes"</f>
        <v>kWh/mes</v>
      </c>
      <c r="F19" s="11"/>
      <c r="G19" s="102" t="s">
        <v>100</v>
      </c>
      <c r="H19" s="103" t="e">
        <f>E17-E28</f>
        <v>#REF!</v>
      </c>
      <c r="I19" s="4"/>
      <c r="P19" s="309"/>
    </row>
    <row r="20" spans="1:16" s="15" customFormat="1" ht="10.5" customHeight="1">
      <c r="C20" s="1" t="s">
        <v>101</v>
      </c>
      <c r="D20" s="104" t="e">
        <f>+E20/$E$28</f>
        <v>#REF!</v>
      </c>
      <c r="E20" s="17" t="e">
        <f>+#REF!</f>
        <v>#REF!</v>
      </c>
      <c r="F20" s="4"/>
      <c r="H20" s="95"/>
      <c r="J20" s="15">
        <v>1</v>
      </c>
      <c r="K20" s="316">
        <f>L4</f>
        <v>490.25819999999999</v>
      </c>
      <c r="L20" s="109"/>
      <c r="M20" s="109"/>
      <c r="N20" s="197"/>
      <c r="P20" s="309"/>
    </row>
    <row r="21" spans="1:16" s="15" customFormat="1" ht="10.5" customHeight="1">
      <c r="C21" s="1" t="s">
        <v>1</v>
      </c>
      <c r="D21" s="104" t="e">
        <f t="shared" ref="D21:D27" si="7">+E21/$E$28</f>
        <v>#REF!</v>
      </c>
      <c r="E21" s="17" t="e">
        <f>+#REF!</f>
        <v>#REF!</v>
      </c>
      <c r="F21" s="4"/>
      <c r="H21" s="93"/>
      <c r="J21" s="15">
        <v>2</v>
      </c>
      <c r="K21" s="316">
        <f t="shared" ref="K21:K31" si="8">L5</f>
        <v>500.0634</v>
      </c>
      <c r="L21" s="109"/>
      <c r="M21" s="109"/>
      <c r="P21" s="309"/>
    </row>
    <row r="22" spans="1:16" s="15" customFormat="1" ht="10.5" customHeight="1">
      <c r="C22" s="1" t="s">
        <v>102</v>
      </c>
      <c r="D22" s="104" t="e">
        <f t="shared" si="7"/>
        <v>#REF!</v>
      </c>
      <c r="E22" s="17" t="e">
        <f>+#REF!</f>
        <v>#REF!</v>
      </c>
      <c r="F22" s="4"/>
      <c r="G22" s="315"/>
      <c r="H22" s="315"/>
      <c r="J22" s="15">
        <v>3</v>
      </c>
      <c r="K22" s="316">
        <f t="shared" si="8"/>
        <v>507.56439999999998</v>
      </c>
      <c r="L22" s="109"/>
      <c r="M22" s="109"/>
      <c r="P22" s="309"/>
    </row>
    <row r="23" spans="1:16" ht="12.75" customHeight="1">
      <c r="C23" s="1" t="s">
        <v>103</v>
      </c>
      <c r="D23" s="104" t="e">
        <f t="shared" si="7"/>
        <v>#REF!</v>
      </c>
      <c r="E23" s="17" t="e">
        <f>+#REF!</f>
        <v>#REF!</v>
      </c>
      <c r="H23" s="93"/>
      <c r="J23" s="15">
        <v>4</v>
      </c>
      <c r="K23" s="316">
        <f t="shared" si="8"/>
        <v>515.17790000000002</v>
      </c>
      <c r="L23" s="109"/>
      <c r="M23" s="109"/>
    </row>
    <row r="24" spans="1:16" ht="12.75" customHeight="1">
      <c r="C24" s="1" t="s">
        <v>104</v>
      </c>
      <c r="D24" s="104" t="e">
        <f t="shared" si="7"/>
        <v>#REF!</v>
      </c>
      <c r="E24" s="17" t="e">
        <f>+#REF!</f>
        <v>#REF!</v>
      </c>
      <c r="H24" s="93"/>
      <c r="J24" s="15">
        <v>5</v>
      </c>
      <c r="K24" s="316">
        <f t="shared" si="8"/>
        <v>524.4511</v>
      </c>
      <c r="L24" s="109"/>
      <c r="M24" s="109"/>
    </row>
    <row r="25" spans="1:16" ht="21">
      <c r="C25" s="1" t="s">
        <v>105</v>
      </c>
      <c r="D25" s="104" t="e">
        <f t="shared" si="7"/>
        <v>#REF!</v>
      </c>
      <c r="E25" s="17" t="e">
        <f>+#REF!</f>
        <v>#REF!</v>
      </c>
      <c r="H25" s="93"/>
      <c r="J25" s="15">
        <v>6</v>
      </c>
      <c r="K25" s="316">
        <f t="shared" si="8"/>
        <v>533.89120000000003</v>
      </c>
      <c r="L25" s="109"/>
      <c r="M25" s="109"/>
    </row>
    <row r="26" spans="1:16" ht="12.75" customHeight="1">
      <c r="C26" s="1" t="s">
        <v>106</v>
      </c>
      <c r="D26" s="104" t="e">
        <f t="shared" si="7"/>
        <v>#REF!</v>
      </c>
      <c r="E26" s="17" t="e">
        <f>+#REF!</f>
        <v>#REF!</v>
      </c>
      <c r="G26" s="314"/>
      <c r="H26" s="297"/>
      <c r="J26" s="15">
        <v>7</v>
      </c>
      <c r="K26" s="316">
        <f t="shared" si="8"/>
        <v>543.50120000000004</v>
      </c>
      <c r="L26" s="109"/>
      <c r="M26" s="109"/>
    </row>
    <row r="27" spans="1:16" ht="42">
      <c r="C27" s="1" t="s">
        <v>107</v>
      </c>
      <c r="D27" s="104" t="e">
        <f t="shared" si="7"/>
        <v>#REF!</v>
      </c>
      <c r="E27" s="17" t="e">
        <f>+#REF!</f>
        <v>#REF!</v>
      </c>
      <c r="G27" s="314"/>
      <c r="H27" s="315"/>
      <c r="J27" s="15">
        <v>8</v>
      </c>
      <c r="K27" s="316">
        <f t="shared" si="8"/>
        <v>554.37120000000004</v>
      </c>
    </row>
    <row r="28" spans="1:16">
      <c r="C28" s="68" t="s">
        <v>94</v>
      </c>
      <c r="D28" s="101" t="e">
        <f>+SUM(D20:D27)</f>
        <v>#REF!</v>
      </c>
      <c r="E28" s="97" t="e">
        <f>+SUM(E20:E27)</f>
        <v>#REF!</v>
      </c>
      <c r="H28" s="93"/>
      <c r="J28" s="15">
        <v>9</v>
      </c>
      <c r="K28" s="316">
        <f t="shared" si="8"/>
        <v>565.45860000000005</v>
      </c>
    </row>
    <row r="29" spans="1:16">
      <c r="H29" s="93"/>
      <c r="J29" s="15">
        <v>10</v>
      </c>
      <c r="K29" s="316">
        <f t="shared" si="8"/>
        <v>576.76779999999997</v>
      </c>
    </row>
    <row r="30" spans="1:16">
      <c r="F30" s="86"/>
      <c r="H30" s="94"/>
      <c r="J30" s="15">
        <v>11</v>
      </c>
      <c r="K30" s="316">
        <f t="shared" si="8"/>
        <v>580.22839999999997</v>
      </c>
    </row>
    <row r="31" spans="1:16">
      <c r="J31" s="15">
        <v>12</v>
      </c>
      <c r="K31" s="316">
        <f t="shared" si="8"/>
        <v>580.22839999999997</v>
      </c>
    </row>
    <row r="32" spans="1:16">
      <c r="J32" s="15">
        <v>13</v>
      </c>
      <c r="K32" s="316">
        <f>M4</f>
        <v>580.22839999999997</v>
      </c>
    </row>
    <row r="33" spans="10:11">
      <c r="J33" s="15">
        <v>14</v>
      </c>
      <c r="K33" s="316">
        <f t="shared" ref="K33:K36" si="9">M5</f>
        <v>586.61090000000002</v>
      </c>
    </row>
    <row r="34" spans="10:11">
      <c r="J34" s="15">
        <v>16</v>
      </c>
      <c r="K34" s="316">
        <f t="shared" si="9"/>
        <v>595.99670000000003</v>
      </c>
    </row>
    <row r="35" spans="10:11">
      <c r="J35" s="15">
        <v>17</v>
      </c>
      <c r="K35" s="316">
        <f t="shared" si="9"/>
        <v>608.51260000000002</v>
      </c>
    </row>
    <row r="36" spans="10:11">
      <c r="J36" s="15">
        <v>18</v>
      </c>
      <c r="K36" s="316">
        <f t="shared" si="9"/>
        <v>620.68290000000002</v>
      </c>
    </row>
    <row r="37" spans="10:11">
      <c r="J37" s="15">
        <v>19</v>
      </c>
      <c r="K37" s="316">
        <f>7.3007*J37+489.71</f>
        <v>628.42329999999993</v>
      </c>
    </row>
    <row r="38" spans="10:11">
      <c r="J38" s="15">
        <v>20</v>
      </c>
      <c r="K38" s="316">
        <f t="shared" ref="K38:K43" si="10">7.3007*J38+489.71</f>
        <v>635.72399999999993</v>
      </c>
    </row>
    <row r="39" spans="10:11">
      <c r="J39" s="15">
        <v>21</v>
      </c>
      <c r="K39" s="316">
        <f t="shared" si="10"/>
        <v>643.02469999999994</v>
      </c>
    </row>
    <row r="40" spans="10:11">
      <c r="J40" s="15">
        <v>22</v>
      </c>
      <c r="K40" s="316">
        <f t="shared" si="10"/>
        <v>650.32539999999995</v>
      </c>
    </row>
    <row r="41" spans="10:11">
      <c r="J41" s="15">
        <v>23</v>
      </c>
      <c r="K41" s="316">
        <f t="shared" si="10"/>
        <v>657.62609999999995</v>
      </c>
    </row>
    <row r="42" spans="10:11">
      <c r="J42" s="15">
        <v>24</v>
      </c>
      <c r="K42" s="316">
        <f t="shared" si="10"/>
        <v>664.92679999999996</v>
      </c>
    </row>
    <row r="43" spans="10:11">
      <c r="J43" s="15">
        <v>25</v>
      </c>
      <c r="K43" s="316">
        <f t="shared" si="10"/>
        <v>672.22749999999996</v>
      </c>
    </row>
    <row r="55" spans="3:5">
      <c r="C55" s="44" t="s">
        <v>2</v>
      </c>
      <c r="D55" s="45" t="s">
        <v>9</v>
      </c>
      <c r="E55" s="45" t="s">
        <v>108</v>
      </c>
    </row>
    <row r="56" spans="3:5">
      <c r="C56" s="1" t="s">
        <v>104</v>
      </c>
      <c r="D56" s="105" t="e">
        <f>+VLOOKUP(C56,$C$20:$E$27,3,FALSE)</f>
        <v>#REF!</v>
      </c>
      <c r="E56" s="107" t="e">
        <f>SUM($D$56:D56)/$D$64</f>
        <v>#REF!</v>
      </c>
    </row>
    <row r="57" spans="3:5">
      <c r="C57" s="1" t="s">
        <v>102</v>
      </c>
      <c r="D57" s="105" t="e">
        <f t="shared" ref="D57:D63" si="11">+VLOOKUP(C57,$C$20:$E$27,3,FALSE)</f>
        <v>#REF!</v>
      </c>
      <c r="E57" s="107" t="e">
        <f>SUM($D$56:D57)/$D$64</f>
        <v>#REF!</v>
      </c>
    </row>
    <row r="58" spans="3:5">
      <c r="C58" s="1" t="s">
        <v>106</v>
      </c>
      <c r="D58" s="105" t="e">
        <f t="shared" si="11"/>
        <v>#REF!</v>
      </c>
      <c r="E58" s="107" t="e">
        <f>SUM($D$56:D58)/$D$64</f>
        <v>#REF!</v>
      </c>
    </row>
    <row r="59" spans="3:5" ht="21">
      <c r="C59" s="1" t="s">
        <v>105</v>
      </c>
      <c r="D59" s="105" t="e">
        <f t="shared" si="11"/>
        <v>#REF!</v>
      </c>
      <c r="E59" s="107" t="e">
        <f>SUM($D$56:D59)/$D$64</f>
        <v>#REF!</v>
      </c>
    </row>
    <row r="60" spans="3:5">
      <c r="C60" s="1" t="s">
        <v>101</v>
      </c>
      <c r="D60" s="105" t="e">
        <f t="shared" si="11"/>
        <v>#REF!</v>
      </c>
      <c r="E60" s="107" t="e">
        <f>SUM($D$56:D60)/$D$64</f>
        <v>#REF!</v>
      </c>
    </row>
    <row r="61" spans="3:5">
      <c r="C61" s="1" t="s">
        <v>1</v>
      </c>
      <c r="D61" s="105" t="e">
        <f t="shared" si="11"/>
        <v>#REF!</v>
      </c>
      <c r="E61" s="107" t="e">
        <f>SUM($D$56:D61)/$D$64</f>
        <v>#REF!</v>
      </c>
    </row>
    <row r="62" spans="3:5">
      <c r="C62" s="1" t="s">
        <v>103</v>
      </c>
      <c r="D62" s="105" t="e">
        <f t="shared" si="11"/>
        <v>#REF!</v>
      </c>
      <c r="E62" s="107" t="e">
        <f>SUM($D$56:D62)/$D$64</f>
        <v>#REF!</v>
      </c>
    </row>
    <row r="63" spans="3:5" ht="42">
      <c r="C63" s="1" t="s">
        <v>107</v>
      </c>
      <c r="D63" s="105" t="e">
        <f t="shared" si="11"/>
        <v>#REF!</v>
      </c>
      <c r="E63" s="107" t="e">
        <f>SUM($D$56:D63)/$D$64</f>
        <v>#REF!</v>
      </c>
    </row>
    <row r="64" spans="3:5">
      <c r="C64" s="68" t="s">
        <v>94</v>
      </c>
      <c r="D64" s="106" t="e">
        <f>+SUM(D56:D63)</f>
        <v>#REF!</v>
      </c>
      <c r="E64" s="97"/>
    </row>
  </sheetData>
  <mergeCells count="6">
    <mergeCell ref="B2:E2"/>
    <mergeCell ref="G2:I2"/>
    <mergeCell ref="K2:M2"/>
    <mergeCell ref="B1:E1"/>
    <mergeCell ref="G1:I1"/>
    <mergeCell ref="K1:M1"/>
  </mergeCells>
  <pageMargins left="0.7" right="0.7" top="0.75" bottom="0.75" header="0.3" footer="0.3"/>
  <pageSetup paperSize="9" orientation="portrait" horizontalDpi="4294967292" verticalDpi="4294967292" r:id="rId1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C000"/>
  </sheetPr>
  <dimension ref="A1:V51"/>
  <sheetViews>
    <sheetView showGridLines="0" zoomScaleNormal="100" workbookViewId="0">
      <selection activeCell="O17" sqref="O17"/>
    </sheetView>
  </sheetViews>
  <sheetFormatPr baseColWidth="10" defaultColWidth="11.42578125" defaultRowHeight="12.75"/>
  <cols>
    <col min="2" max="2" width="13" hidden="1" customWidth="1"/>
    <col min="3" max="3" width="11.42578125" customWidth="1"/>
    <col min="6" max="6" width="9.28515625" customWidth="1"/>
    <col min="7" max="7" width="6.7109375" customWidth="1"/>
    <col min="8" max="8" width="11.42578125" hidden="1" customWidth="1"/>
    <col min="9" max="10" width="17.28515625" customWidth="1"/>
    <col min="11" max="12" width="6.7109375" customWidth="1"/>
    <col min="13" max="13" width="11.42578125" hidden="1" customWidth="1"/>
    <col min="14" max="15" width="16.85546875" customWidth="1"/>
  </cols>
  <sheetData>
    <row r="1" spans="1:22">
      <c r="A1" s="1" t="s">
        <v>98</v>
      </c>
      <c r="C1" s="431" t="str">
        <f>+'Unidades de Trabajo'!B5</f>
        <v>m3</v>
      </c>
      <c r="D1" s="432"/>
      <c r="E1" s="432"/>
      <c r="I1" s="434" t="str">
        <f>+'Unidades de Trabajo'!B9</f>
        <v>COP</v>
      </c>
      <c r="J1" s="434"/>
      <c r="N1" s="434" t="str">
        <f>" "&amp;'Unidades de Trabajo'!B9&amp;" /"&amp;'Unidades de Trabajo'!B5&amp;""</f>
        <v xml:space="preserve"> COP /m3</v>
      </c>
      <c r="O1" s="434"/>
    </row>
    <row r="2" spans="1:22" ht="32.1" customHeight="1">
      <c r="A2" s="8"/>
      <c r="B2" s="435" t="s">
        <v>109</v>
      </c>
      <c r="C2" s="430"/>
      <c r="D2" s="430"/>
      <c r="E2" s="430"/>
      <c r="G2" s="15"/>
      <c r="I2" s="435" t="s">
        <v>110</v>
      </c>
      <c r="J2" s="430"/>
      <c r="L2" s="15"/>
      <c r="N2" s="435" t="s">
        <v>111</v>
      </c>
      <c r="O2" s="430"/>
      <c r="Q2" s="15"/>
      <c r="R2" s="15"/>
      <c r="S2" s="15"/>
      <c r="T2" s="15"/>
      <c r="U2" s="15"/>
      <c r="V2" s="15"/>
    </row>
    <row r="3" spans="1:22">
      <c r="A3" s="15"/>
      <c r="B3" s="1">
        <v>2020</v>
      </c>
      <c r="C3" s="1">
        <v>2022</v>
      </c>
      <c r="D3" s="1">
        <v>2023</v>
      </c>
      <c r="E3" s="8" t="s">
        <v>81</v>
      </c>
      <c r="G3" s="15"/>
      <c r="H3" s="1">
        <v>2020</v>
      </c>
      <c r="I3" s="1">
        <v>2022</v>
      </c>
      <c r="J3" s="1">
        <v>2023</v>
      </c>
      <c r="L3" s="15"/>
      <c r="M3" s="1">
        <v>2020</v>
      </c>
      <c r="N3" s="1">
        <v>2022</v>
      </c>
      <c r="O3" s="1">
        <v>2023</v>
      </c>
      <c r="Q3" s="15"/>
      <c r="R3" s="15"/>
      <c r="S3" s="15"/>
      <c r="T3" s="15"/>
      <c r="U3" s="15"/>
      <c r="V3" s="15"/>
    </row>
    <row r="4" spans="1:22">
      <c r="A4" s="1" t="s">
        <v>82</v>
      </c>
      <c r="B4" s="2"/>
      <c r="C4" s="72">
        <v>902</v>
      </c>
      <c r="D4" s="72">
        <v>672</v>
      </c>
      <c r="E4" s="17">
        <f t="shared" ref="E4:E15" si="0">AVERAGE(B4:D4)</f>
        <v>787</v>
      </c>
      <c r="G4" s="15"/>
      <c r="H4" s="2">
        <f>+M4*B4</f>
        <v>0</v>
      </c>
      <c r="I4" s="89">
        <f>+N4*C4</f>
        <v>2188950</v>
      </c>
      <c r="J4" s="89">
        <f>+O4*D4</f>
        <v>1729400</v>
      </c>
      <c r="L4" s="15"/>
      <c r="M4" s="2"/>
      <c r="N4" s="91">
        <v>2426.7738359201776</v>
      </c>
      <c r="O4" s="91">
        <v>2573.5119047619046</v>
      </c>
      <c r="Q4" s="15"/>
      <c r="R4" s="15"/>
      <c r="S4" s="15"/>
      <c r="T4" s="15"/>
      <c r="U4" s="15"/>
      <c r="V4" s="15"/>
    </row>
    <row r="5" spans="1:22">
      <c r="A5" s="1" t="s">
        <v>83</v>
      </c>
      <c r="B5" s="2"/>
      <c r="C5" s="72">
        <v>522</v>
      </c>
      <c r="D5" s="72">
        <v>404</v>
      </c>
      <c r="E5" s="17">
        <f t="shared" si="0"/>
        <v>463</v>
      </c>
      <c r="G5" s="15"/>
      <c r="H5" s="2">
        <f t="shared" ref="H5:H15" si="1">+M5*B5</f>
        <v>0</v>
      </c>
      <c r="I5" s="89">
        <f t="shared" ref="I5:I15" si="2">+N5*C5</f>
        <v>1140770</v>
      </c>
      <c r="J5" s="89">
        <f t="shared" ref="J5:J9" si="3">+O5*D5</f>
        <v>1237450</v>
      </c>
      <c r="L5" s="15"/>
      <c r="M5" s="2"/>
      <c r="N5" s="91">
        <v>2185.3831417624519</v>
      </c>
      <c r="O5" s="91">
        <v>3062.9950495049507</v>
      </c>
      <c r="Q5" s="15"/>
      <c r="R5" s="15"/>
      <c r="S5" s="15"/>
      <c r="T5" s="15"/>
      <c r="U5" s="15"/>
      <c r="V5" s="15"/>
    </row>
    <row r="6" spans="1:22">
      <c r="A6" s="1" t="s">
        <v>84</v>
      </c>
      <c r="B6" s="2"/>
      <c r="C6" s="72">
        <v>544</v>
      </c>
      <c r="D6" s="72">
        <v>472</v>
      </c>
      <c r="E6" s="17">
        <f t="shared" si="0"/>
        <v>508</v>
      </c>
      <c r="G6" s="15"/>
      <c r="H6" s="2">
        <f t="shared" si="1"/>
        <v>0</v>
      </c>
      <c r="I6" s="89">
        <f t="shared" si="2"/>
        <v>1241650</v>
      </c>
      <c r="J6" s="89">
        <f t="shared" si="3"/>
        <v>1413590</v>
      </c>
      <c r="L6" s="15"/>
      <c r="M6" s="2"/>
      <c r="N6" s="91">
        <v>2282.4448529411766</v>
      </c>
      <c r="O6" s="91">
        <v>2994.8940677966102</v>
      </c>
      <c r="Q6" s="15"/>
      <c r="R6" s="15"/>
      <c r="S6" s="15"/>
      <c r="T6" s="15"/>
      <c r="U6" s="15"/>
      <c r="V6" s="15"/>
    </row>
    <row r="7" spans="1:22">
      <c r="A7" s="1" t="s">
        <v>85</v>
      </c>
      <c r="B7" s="2"/>
      <c r="C7" s="72">
        <v>611</v>
      </c>
      <c r="D7" s="72">
        <v>558</v>
      </c>
      <c r="E7" s="17">
        <f t="shared" si="0"/>
        <v>584.5</v>
      </c>
      <c r="G7" s="15"/>
      <c r="H7" s="2">
        <f t="shared" si="1"/>
        <v>0</v>
      </c>
      <c r="I7" s="89">
        <f t="shared" si="2"/>
        <v>1262357</v>
      </c>
      <c r="J7" s="89">
        <f t="shared" si="3"/>
        <v>1906550</v>
      </c>
      <c r="L7" s="15"/>
      <c r="M7" s="2"/>
      <c r="N7" s="91">
        <v>2066.0507364975451</v>
      </c>
      <c r="O7" s="91">
        <v>3416.7562724014338</v>
      </c>
      <c r="Q7" s="15"/>
      <c r="R7" s="15"/>
      <c r="S7" s="15"/>
      <c r="T7" s="15"/>
      <c r="U7" s="15"/>
      <c r="V7" s="15"/>
    </row>
    <row r="8" spans="1:22">
      <c r="A8" s="1" t="s">
        <v>86</v>
      </c>
      <c r="B8" s="2"/>
      <c r="C8" s="72">
        <v>482</v>
      </c>
      <c r="D8" s="72">
        <v>420</v>
      </c>
      <c r="E8" s="17">
        <f t="shared" si="0"/>
        <v>451</v>
      </c>
      <c r="G8" s="15"/>
      <c r="H8" s="2">
        <f t="shared" si="1"/>
        <v>0</v>
      </c>
      <c r="I8" s="89">
        <f t="shared" si="2"/>
        <v>1261970</v>
      </c>
      <c r="J8" s="89">
        <f t="shared" si="3"/>
        <v>1074990</v>
      </c>
      <c r="L8" s="15"/>
      <c r="M8" s="2"/>
      <c r="N8" s="91">
        <v>2618.1950207468881</v>
      </c>
      <c r="O8" s="91">
        <v>2559.5</v>
      </c>
      <c r="Q8" s="15"/>
      <c r="R8" s="15"/>
      <c r="S8" s="15"/>
      <c r="T8" s="15"/>
      <c r="U8" s="15"/>
      <c r="V8" s="15"/>
    </row>
    <row r="9" spans="1:22">
      <c r="A9" s="1" t="s">
        <v>87</v>
      </c>
      <c r="B9" s="2"/>
      <c r="C9" s="72">
        <v>544</v>
      </c>
      <c r="D9" s="72">
        <v>135</v>
      </c>
      <c r="E9" s="17">
        <f t="shared" si="0"/>
        <v>339.5</v>
      </c>
      <c r="G9" s="15"/>
      <c r="H9" s="2">
        <f t="shared" si="1"/>
        <v>0</v>
      </c>
      <c r="I9" s="89">
        <f t="shared" si="2"/>
        <v>1368530</v>
      </c>
      <c r="J9" s="89">
        <f t="shared" si="3"/>
        <v>386860</v>
      </c>
      <c r="L9" s="15"/>
      <c r="M9" s="2"/>
      <c r="N9" s="91">
        <v>2515.6801470588234</v>
      </c>
      <c r="O9" s="91">
        <v>2865.6296296296296</v>
      </c>
      <c r="Q9" s="15"/>
      <c r="R9" s="15"/>
      <c r="S9" s="15"/>
      <c r="T9" s="15"/>
      <c r="U9" s="15"/>
      <c r="V9" s="15"/>
    </row>
    <row r="10" spans="1:22">
      <c r="A10" s="1" t="s">
        <v>88</v>
      </c>
      <c r="B10" s="2"/>
      <c r="C10" s="72">
        <v>497</v>
      </c>
      <c r="D10" s="72"/>
      <c r="E10" s="17">
        <f t="shared" si="0"/>
        <v>497</v>
      </c>
      <c r="G10" s="15"/>
      <c r="H10" s="2">
        <f t="shared" si="1"/>
        <v>0</v>
      </c>
      <c r="I10" s="89">
        <f t="shared" si="2"/>
        <v>1329090</v>
      </c>
      <c r="J10" s="89"/>
      <c r="L10" s="15"/>
      <c r="M10" s="2"/>
      <c r="N10" s="91">
        <v>2674.2253521126759</v>
      </c>
      <c r="O10" s="91"/>
      <c r="Q10" s="15"/>
      <c r="R10" s="15"/>
      <c r="S10" s="15"/>
      <c r="T10" s="15"/>
      <c r="U10" s="15"/>
      <c r="V10" s="15"/>
    </row>
    <row r="11" spans="1:22">
      <c r="A11" s="1" t="s">
        <v>89</v>
      </c>
      <c r="B11" s="2"/>
      <c r="C11" s="72">
        <v>467</v>
      </c>
      <c r="D11" s="72"/>
      <c r="E11" s="17">
        <f t="shared" si="0"/>
        <v>467</v>
      </c>
      <c r="G11" s="15"/>
      <c r="H11" s="2">
        <f t="shared" si="1"/>
        <v>0</v>
      </c>
      <c r="I11" s="89">
        <f t="shared" si="2"/>
        <v>1241150</v>
      </c>
      <c r="J11" s="89"/>
      <c r="L11" s="15"/>
      <c r="M11" s="2"/>
      <c r="N11" s="91">
        <v>2657.708779443255</v>
      </c>
      <c r="O11" s="91"/>
      <c r="Q11" s="15"/>
      <c r="R11" s="15"/>
      <c r="S11" s="15"/>
      <c r="T11" s="15"/>
      <c r="U11" s="15"/>
      <c r="V11" s="15"/>
    </row>
    <row r="12" spans="1:22">
      <c r="A12" s="1" t="s">
        <v>90</v>
      </c>
      <c r="B12" s="2"/>
      <c r="C12" s="72">
        <v>526</v>
      </c>
      <c r="D12" s="72"/>
      <c r="E12" s="17">
        <f t="shared" si="0"/>
        <v>526</v>
      </c>
      <c r="G12" s="15"/>
      <c r="H12" s="2">
        <f t="shared" si="1"/>
        <v>0</v>
      </c>
      <c r="I12" s="89">
        <f t="shared" si="2"/>
        <v>1500070</v>
      </c>
      <c r="J12" s="89"/>
      <c r="L12" s="15"/>
      <c r="M12" s="2"/>
      <c r="N12" s="91">
        <v>2851.8441064638782</v>
      </c>
      <c r="O12" s="91"/>
      <c r="Q12" s="15"/>
      <c r="R12" s="15"/>
      <c r="S12" s="15"/>
      <c r="T12" s="15"/>
      <c r="U12" s="15"/>
      <c r="V12" s="15"/>
    </row>
    <row r="13" spans="1:22">
      <c r="A13" s="1" t="s">
        <v>91</v>
      </c>
      <c r="B13" s="2"/>
      <c r="C13" s="72">
        <v>583</v>
      </c>
      <c r="D13" s="72"/>
      <c r="E13" s="17">
        <f t="shared" si="0"/>
        <v>583</v>
      </c>
      <c r="G13" s="15"/>
      <c r="H13" s="2">
        <f t="shared" si="1"/>
        <v>0</v>
      </c>
      <c r="I13" s="89">
        <f t="shared" si="2"/>
        <v>1756020</v>
      </c>
      <c r="J13" s="89"/>
      <c r="L13" s="15"/>
      <c r="M13" s="2"/>
      <c r="N13" s="91">
        <v>3012.041166380789</v>
      </c>
      <c r="O13" s="91"/>
      <c r="Q13" s="15"/>
      <c r="R13" s="15"/>
      <c r="S13" s="15"/>
      <c r="T13" s="15"/>
      <c r="U13" s="15"/>
      <c r="V13" s="15"/>
    </row>
    <row r="14" spans="1:22">
      <c r="A14" s="1" t="s">
        <v>92</v>
      </c>
      <c r="B14" s="2"/>
      <c r="C14" s="72">
        <v>479</v>
      </c>
      <c r="D14" s="72"/>
      <c r="E14" s="17">
        <f t="shared" si="0"/>
        <v>479</v>
      </c>
      <c r="G14" s="15"/>
      <c r="H14" s="2">
        <f t="shared" si="1"/>
        <v>0</v>
      </c>
      <c r="I14" s="89">
        <f t="shared" si="2"/>
        <v>1386650</v>
      </c>
      <c r="J14" s="89"/>
      <c r="L14" s="15"/>
      <c r="M14" s="2"/>
      <c r="N14" s="91">
        <v>2894.8851774530272</v>
      </c>
      <c r="O14" s="91"/>
      <c r="Q14" s="15"/>
      <c r="R14" s="15"/>
      <c r="S14" s="15"/>
      <c r="T14" s="15"/>
      <c r="U14" s="15"/>
      <c r="V14" s="15"/>
    </row>
    <row r="15" spans="1:22">
      <c r="A15" s="1" t="s">
        <v>93</v>
      </c>
      <c r="B15" s="2"/>
      <c r="C15" s="201">
        <v>444</v>
      </c>
      <c r="D15" s="201"/>
      <c r="E15" s="17">
        <f t="shared" si="0"/>
        <v>444</v>
      </c>
      <c r="G15" s="15"/>
      <c r="H15" s="2">
        <f t="shared" si="1"/>
        <v>0</v>
      </c>
      <c r="I15" s="89">
        <f t="shared" si="2"/>
        <v>1170100</v>
      </c>
      <c r="J15" s="89"/>
      <c r="L15" s="15"/>
      <c r="M15" s="2"/>
      <c r="N15" s="91">
        <v>2635.3603603603606</v>
      </c>
      <c r="O15" s="91"/>
      <c r="Q15" s="15"/>
      <c r="R15" s="15"/>
      <c r="S15" s="15"/>
      <c r="T15" s="15"/>
      <c r="U15" s="15"/>
      <c r="V15" s="15"/>
    </row>
    <row r="16" spans="1:22">
      <c r="A16" s="1" t="s">
        <v>81</v>
      </c>
      <c r="B16" s="177">
        <f>SUM(B4:B15)</f>
        <v>0</v>
      </c>
      <c r="C16" s="202">
        <f t="shared" ref="C16:D16" si="4">AVERAGE(C4:C15)</f>
        <v>550.08333333333337</v>
      </c>
      <c r="D16" s="203">
        <f t="shared" si="4"/>
        <v>443.5</v>
      </c>
      <c r="E16" s="204">
        <f>AVERAGE(E4:E15)</f>
        <v>510.75</v>
      </c>
      <c r="G16" s="12"/>
      <c r="H16" s="18">
        <f>SUM(H4:H15)</f>
        <v>0</v>
      </c>
      <c r="I16" s="90">
        <f>AVERAGE(I4:I15)</f>
        <v>1403942.25</v>
      </c>
      <c r="J16" s="90">
        <f>AVERAGE(J4:J15)</f>
        <v>1291473.3333333333</v>
      </c>
      <c r="L16" s="12"/>
      <c r="M16" s="23" t="e">
        <f>+AVERAGE(M4:M15)</f>
        <v>#DIV/0!</v>
      </c>
      <c r="N16" s="88">
        <f>+AVERAGE(N4:N15)</f>
        <v>2568.3827230950878</v>
      </c>
      <c r="O16" s="200">
        <f>+AVERAGE(O4:O15)</f>
        <v>2912.2144873490884</v>
      </c>
      <c r="Q16" s="15"/>
      <c r="R16" s="15"/>
      <c r="S16" s="15"/>
      <c r="T16" s="15"/>
      <c r="U16" s="15"/>
      <c r="V16" s="15"/>
    </row>
    <row r="17" spans="1:16">
      <c r="A17" s="15"/>
      <c r="B17" s="15"/>
      <c r="C17" s="15"/>
      <c r="D17" s="15"/>
      <c r="E17" s="93"/>
      <c r="F17" s="4"/>
      <c r="G17" s="71"/>
      <c r="H17" s="15"/>
      <c r="I17" s="15"/>
      <c r="J17" s="15"/>
      <c r="K17" s="4"/>
      <c r="L17" s="71" t="s">
        <v>99</v>
      </c>
      <c r="M17" s="47"/>
      <c r="N17" s="198"/>
      <c r="O17" s="313">
        <f>AVERAGE(N16:O16)</f>
        <v>2740.2986052220881</v>
      </c>
      <c r="P17" s="199">
        <f>O16/N16-1</f>
        <v>0.13387092241442056</v>
      </c>
    </row>
    <row r="18" spans="1:16" ht="31.5">
      <c r="C18" s="44" t="s">
        <v>112</v>
      </c>
      <c r="D18" s="45" t="s">
        <v>27</v>
      </c>
      <c r="E18" s="45" t="str">
        <f>C1&amp;"/mes"</f>
        <v>m3/mes</v>
      </c>
      <c r="F18" s="15"/>
      <c r="G18" s="15"/>
      <c r="H18" s="15"/>
      <c r="I18" s="102" t="s">
        <v>113</v>
      </c>
      <c r="J18" s="103" t="e">
        <f>E16-E21</f>
        <v>#REF!</v>
      </c>
      <c r="K18" s="15"/>
      <c r="L18" s="15"/>
      <c r="M18" s="15"/>
      <c r="N18" s="15"/>
      <c r="O18" s="15"/>
      <c r="P18" s="15"/>
    </row>
    <row r="19" spans="1:16">
      <c r="C19" s="1" t="s">
        <v>114</v>
      </c>
      <c r="D19" s="31" t="e">
        <f>+E19/$E$16</f>
        <v>#REF!</v>
      </c>
      <c r="E19" s="17" t="e">
        <f>+#REF!</f>
        <v>#REF!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</row>
    <row r="20" spans="1:16" ht="21">
      <c r="C20" s="1" t="s">
        <v>115</v>
      </c>
      <c r="D20" s="31" t="e">
        <f>+E20/$E$16</f>
        <v>#REF!</v>
      </c>
      <c r="E20" s="17" t="e">
        <f>+#REF!</f>
        <v>#REF!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</row>
    <row r="21" spans="1:16">
      <c r="C21" s="1" t="s">
        <v>94</v>
      </c>
      <c r="D21" s="31" t="e">
        <f>+SUM(D19:D20)</f>
        <v>#REF!</v>
      </c>
      <c r="E21" s="17" t="e">
        <f>+SUM(E19:E20)</f>
        <v>#REF!</v>
      </c>
    </row>
    <row r="48" spans="3:6" ht="31.5">
      <c r="C48" s="44" t="s">
        <v>112</v>
      </c>
      <c r="D48" s="45" t="s">
        <v>27</v>
      </c>
      <c r="E48" s="45" t="s">
        <v>97</v>
      </c>
      <c r="F48" s="45" t="s">
        <v>108</v>
      </c>
    </row>
    <row r="49" spans="3:6" ht="21">
      <c r="C49" s="1" t="s">
        <v>115</v>
      </c>
      <c r="D49" s="31" t="e">
        <f>+E49/$E$51</f>
        <v>#REF!</v>
      </c>
      <c r="E49" s="17" t="e">
        <f>+#REF!</f>
        <v>#REF!</v>
      </c>
      <c r="F49" s="31" t="e">
        <f>+SUM($D$49:D49)</f>
        <v>#REF!</v>
      </c>
    </row>
    <row r="50" spans="3:6">
      <c r="C50" s="1" t="s">
        <v>114</v>
      </c>
      <c r="D50" s="31" t="e">
        <f>+E50/$E$51</f>
        <v>#REF!</v>
      </c>
      <c r="E50" s="17" t="e">
        <f>+#REF!</f>
        <v>#REF!</v>
      </c>
      <c r="F50" s="31" t="e">
        <f>+SUM($D$49:D50)</f>
        <v>#REF!</v>
      </c>
    </row>
    <row r="51" spans="3:6">
      <c r="C51" s="1" t="s">
        <v>94</v>
      </c>
      <c r="D51" s="31" t="e">
        <f>+SUM(D49:D50)</f>
        <v>#REF!</v>
      </c>
      <c r="E51" s="17" t="e">
        <f>+SUM(E49:E50)</f>
        <v>#REF!</v>
      </c>
    </row>
  </sheetData>
  <mergeCells count="6">
    <mergeCell ref="B2:E2"/>
    <mergeCell ref="C1:E1"/>
    <mergeCell ref="I1:J1"/>
    <mergeCell ref="I2:J2"/>
    <mergeCell ref="N1:O1"/>
    <mergeCell ref="N2:O2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C000"/>
  </sheetPr>
  <dimension ref="A1:R21"/>
  <sheetViews>
    <sheetView showGridLines="0" zoomScaleNormal="100" workbookViewId="0">
      <selection activeCell="O17" sqref="O17"/>
    </sheetView>
  </sheetViews>
  <sheetFormatPr baseColWidth="10" defaultColWidth="11.42578125" defaultRowHeight="12.75"/>
  <cols>
    <col min="2" max="2" width="11.42578125" hidden="1" customWidth="1"/>
    <col min="3" max="3" width="17.85546875" customWidth="1"/>
    <col min="6" max="7" width="7.28515625" customWidth="1"/>
    <col min="8" max="9" width="0" hidden="1" customWidth="1"/>
    <col min="10" max="11" width="22.5703125" customWidth="1"/>
    <col min="12" max="12" width="7.28515625" customWidth="1"/>
    <col min="13" max="13" width="11.42578125" hidden="1" customWidth="1"/>
    <col min="14" max="15" width="19.42578125" customWidth="1"/>
  </cols>
  <sheetData>
    <row r="1" spans="1:18">
      <c r="A1" s="1" t="s">
        <v>98</v>
      </c>
      <c r="C1" s="431" t="str">
        <f>+'Unidades de Trabajo'!B8</f>
        <v>m3</v>
      </c>
      <c r="D1" s="432"/>
      <c r="E1" s="432"/>
      <c r="H1" s="434" t="str">
        <f>+'Unidades de Trabajo'!B9</f>
        <v>COP</v>
      </c>
      <c r="I1" s="434"/>
      <c r="J1" s="434"/>
      <c r="K1" s="434"/>
      <c r="N1" s="434" t="str">
        <f>" "&amp;'Unidades de Trabajo'!B9&amp;" /"&amp;'Unidades de Trabajo'!B8&amp;""</f>
        <v xml:space="preserve"> COP /m3</v>
      </c>
      <c r="O1" s="434"/>
      <c r="P1" s="15"/>
    </row>
    <row r="2" spans="1:18" ht="33.950000000000003" customHeight="1">
      <c r="C2" s="435" t="s">
        <v>5</v>
      </c>
      <c r="D2" s="430"/>
      <c r="E2" s="430"/>
      <c r="H2" s="435" t="s">
        <v>116</v>
      </c>
      <c r="I2" s="430"/>
      <c r="J2" s="430"/>
      <c r="K2" s="430"/>
      <c r="N2" s="435" t="s">
        <v>117</v>
      </c>
      <c r="O2" s="430"/>
      <c r="P2" s="15"/>
      <c r="Q2" s="15"/>
      <c r="R2" s="15"/>
    </row>
    <row r="3" spans="1:18">
      <c r="B3" s="1">
        <v>2020</v>
      </c>
      <c r="C3" s="1">
        <v>2022</v>
      </c>
      <c r="D3" s="1">
        <v>2023</v>
      </c>
      <c r="E3" s="8" t="s">
        <v>81</v>
      </c>
      <c r="G3" s="11"/>
      <c r="H3" s="1">
        <v>2020</v>
      </c>
      <c r="I3" s="1">
        <v>2021</v>
      </c>
      <c r="J3" s="1">
        <v>2022</v>
      </c>
      <c r="K3" s="1">
        <v>2023</v>
      </c>
      <c r="M3" s="1">
        <v>2020</v>
      </c>
      <c r="N3" s="1">
        <v>2022</v>
      </c>
      <c r="O3" s="1">
        <v>2023</v>
      </c>
      <c r="Q3" s="15"/>
      <c r="R3" s="15"/>
    </row>
    <row r="4" spans="1:18">
      <c r="A4" s="1" t="s">
        <v>82</v>
      </c>
      <c r="B4" s="2"/>
      <c r="C4" s="72">
        <v>0</v>
      </c>
      <c r="D4" s="72">
        <v>1545</v>
      </c>
      <c r="E4" s="14">
        <f t="shared" ref="E4:E15" si="0">AVERAGE(B4:D4)</f>
        <v>772.5</v>
      </c>
      <c r="G4" s="11"/>
      <c r="H4" s="2">
        <f>+B4*M4</f>
        <v>0</v>
      </c>
      <c r="I4" s="2" t="e">
        <f>+#REF!*#REF!</f>
        <v>#REF!</v>
      </c>
      <c r="J4" s="87">
        <f t="shared" ref="J4:J15" si="1">+C4*N4</f>
        <v>0</v>
      </c>
      <c r="K4" s="87">
        <f t="shared" ref="K4:K15" si="2">+D4*O4</f>
        <v>9795370</v>
      </c>
      <c r="M4" s="50"/>
      <c r="N4" s="98"/>
      <c r="O4" s="98">
        <v>6340.0453074433653</v>
      </c>
      <c r="Q4" s="15"/>
      <c r="R4" s="15"/>
    </row>
    <row r="5" spans="1:18">
      <c r="A5" s="1" t="s">
        <v>83</v>
      </c>
      <c r="B5" s="2"/>
      <c r="C5" s="72">
        <v>2923</v>
      </c>
      <c r="D5" s="72">
        <v>1545</v>
      </c>
      <c r="E5" s="14">
        <f t="shared" si="0"/>
        <v>2234</v>
      </c>
      <c r="G5" s="11"/>
      <c r="H5" s="2">
        <f t="shared" ref="H5:H15" si="3">+B5*M5</f>
        <v>0</v>
      </c>
      <c r="I5" s="2" t="e">
        <f>+#REF!*#REF!</f>
        <v>#REF!</v>
      </c>
      <c r="J5" s="87">
        <f t="shared" si="1"/>
        <v>16628288</v>
      </c>
      <c r="K5" s="87">
        <f t="shared" si="2"/>
        <v>9789950</v>
      </c>
      <c r="M5" s="50"/>
      <c r="N5" s="98">
        <v>5688.7745466985971</v>
      </c>
      <c r="O5" s="98">
        <v>6336.5372168284794</v>
      </c>
      <c r="Q5" s="15"/>
      <c r="R5" s="15"/>
    </row>
    <row r="6" spans="1:18">
      <c r="A6" s="1" t="s">
        <v>84</v>
      </c>
      <c r="B6" s="2"/>
      <c r="C6" s="72">
        <v>3793</v>
      </c>
      <c r="D6" s="72">
        <v>1545</v>
      </c>
      <c r="E6" s="14">
        <f t="shared" si="0"/>
        <v>2669</v>
      </c>
      <c r="G6" s="11"/>
      <c r="H6" s="2">
        <f t="shared" si="3"/>
        <v>0</v>
      </c>
      <c r="I6" s="2" t="e">
        <f>+#REF!*#REF!</f>
        <v>#REF!</v>
      </c>
      <c r="J6" s="87">
        <f t="shared" si="1"/>
        <v>21556400</v>
      </c>
      <c r="K6" s="87">
        <f t="shared" si="2"/>
        <v>9772910</v>
      </c>
      <c r="M6" s="50"/>
      <c r="N6" s="98">
        <v>5683.2059056156077</v>
      </c>
      <c r="O6" s="98">
        <v>6325.5080906148869</v>
      </c>
      <c r="Q6" s="15"/>
      <c r="R6" s="15"/>
    </row>
    <row r="7" spans="1:18">
      <c r="A7" s="1" t="s">
        <v>85</v>
      </c>
      <c r="B7" s="2"/>
      <c r="C7" s="72">
        <v>1266</v>
      </c>
      <c r="D7" s="72">
        <v>1545</v>
      </c>
      <c r="E7" s="14">
        <f t="shared" si="0"/>
        <v>1405.5</v>
      </c>
      <c r="G7" s="11"/>
      <c r="H7" s="2">
        <f t="shared" si="3"/>
        <v>0</v>
      </c>
      <c r="I7" s="2" t="e">
        <f>+#REF!*#REF!</f>
        <v>#REF!</v>
      </c>
      <c r="J7" s="87">
        <f t="shared" si="1"/>
        <v>7709187.9999999991</v>
      </c>
      <c r="K7" s="87">
        <f t="shared" si="2"/>
        <v>9903080</v>
      </c>
      <c r="M7" s="50"/>
      <c r="N7" s="98">
        <v>6089.4060031595573</v>
      </c>
      <c r="O7" s="98">
        <v>6409.7605177993528</v>
      </c>
      <c r="Q7" s="15"/>
      <c r="R7" s="15"/>
    </row>
    <row r="8" spans="1:18">
      <c r="A8" s="1" t="s">
        <v>86</v>
      </c>
      <c r="B8" s="2"/>
      <c r="C8" s="72">
        <v>1445</v>
      </c>
      <c r="D8" s="72">
        <v>1545</v>
      </c>
      <c r="E8" s="14">
        <f t="shared" si="0"/>
        <v>1495</v>
      </c>
      <c r="G8" s="11"/>
      <c r="H8" s="2">
        <f t="shared" si="3"/>
        <v>0</v>
      </c>
      <c r="I8" s="2" t="e">
        <f>+#REF!*#REF!</f>
        <v>#REF!</v>
      </c>
      <c r="J8" s="87">
        <f t="shared" si="1"/>
        <v>8867248</v>
      </c>
      <c r="K8" s="87">
        <f t="shared" si="2"/>
        <v>10206790</v>
      </c>
      <c r="M8" s="50"/>
      <c r="N8" s="98">
        <v>6136.5038062283738</v>
      </c>
      <c r="O8" s="98">
        <v>6606.3365695792882</v>
      </c>
      <c r="Q8" s="15"/>
      <c r="R8" s="15"/>
    </row>
    <row r="9" spans="1:18">
      <c r="A9" s="1" t="s">
        <v>87</v>
      </c>
      <c r="B9" s="2"/>
      <c r="C9" s="72">
        <v>1481</v>
      </c>
      <c r="D9" s="72">
        <v>1545</v>
      </c>
      <c r="E9" s="14">
        <f t="shared" si="0"/>
        <v>1513</v>
      </c>
      <c r="G9" s="11"/>
      <c r="H9" s="2">
        <f t="shared" si="3"/>
        <v>0</v>
      </c>
      <c r="I9" s="2" t="e">
        <f>+#REF!*#REF!</f>
        <v>#REF!</v>
      </c>
      <c r="J9" s="87">
        <f t="shared" si="1"/>
        <v>9204435</v>
      </c>
      <c r="K9" s="87">
        <f t="shared" si="2"/>
        <v>10206790</v>
      </c>
      <c r="M9" s="50"/>
      <c r="N9" s="98">
        <v>6215.0135043889268</v>
      </c>
      <c r="O9" s="98">
        <v>6606.3365695792882</v>
      </c>
      <c r="Q9" s="15"/>
      <c r="R9" s="15"/>
    </row>
    <row r="10" spans="1:18">
      <c r="A10" s="1" t="s">
        <v>88</v>
      </c>
      <c r="B10" s="2"/>
      <c r="C10" s="72">
        <v>1516</v>
      </c>
      <c r="D10" s="72"/>
      <c r="E10" s="14">
        <f t="shared" si="0"/>
        <v>1516</v>
      </c>
      <c r="G10" s="11"/>
      <c r="H10" s="2">
        <f t="shared" si="3"/>
        <v>0</v>
      </c>
      <c r="I10" s="2" t="e">
        <f>+#REF!*#REF!</f>
        <v>#REF!</v>
      </c>
      <c r="J10" s="87">
        <f t="shared" si="1"/>
        <v>9392340</v>
      </c>
      <c r="K10" s="87">
        <f t="shared" si="2"/>
        <v>0</v>
      </c>
      <c r="M10" s="50"/>
      <c r="N10" s="98">
        <v>6195.474934036939</v>
      </c>
      <c r="O10" s="98"/>
      <c r="Q10" s="15"/>
      <c r="R10" s="15"/>
    </row>
    <row r="11" spans="1:18">
      <c r="A11" s="1" t="s">
        <v>89</v>
      </c>
      <c r="B11" s="2"/>
      <c r="C11" s="72">
        <v>1429</v>
      </c>
      <c r="D11" s="72"/>
      <c r="E11" s="14">
        <f t="shared" si="0"/>
        <v>1429</v>
      </c>
      <c r="G11" s="11"/>
      <c r="H11" s="2">
        <f t="shared" si="3"/>
        <v>0</v>
      </c>
      <c r="I11" s="2" t="e">
        <f>+#REF!*#REF!</f>
        <v>#REF!</v>
      </c>
      <c r="J11" s="87">
        <f t="shared" si="1"/>
        <v>8827960</v>
      </c>
      <c r="K11" s="87">
        <f t="shared" si="2"/>
        <v>0</v>
      </c>
      <c r="M11" s="50"/>
      <c r="N11" s="98">
        <v>6177.718684394682</v>
      </c>
      <c r="O11" s="98"/>
      <c r="Q11" s="15"/>
      <c r="R11" s="15"/>
    </row>
    <row r="12" spans="1:18">
      <c r="A12" s="1" t="s">
        <v>90</v>
      </c>
      <c r="B12" s="2"/>
      <c r="C12" s="72">
        <v>1617</v>
      </c>
      <c r="D12" s="72"/>
      <c r="E12" s="14">
        <f t="shared" si="0"/>
        <v>1617</v>
      </c>
      <c r="G12" s="11"/>
      <c r="H12" s="2">
        <f t="shared" si="3"/>
        <v>0</v>
      </c>
      <c r="I12" s="2" t="e">
        <f>+#REF!*#REF!</f>
        <v>#REF!</v>
      </c>
      <c r="J12" s="87">
        <f t="shared" si="1"/>
        <v>10052430</v>
      </c>
      <c r="K12" s="87">
        <f t="shared" si="2"/>
        <v>0</v>
      </c>
      <c r="M12" s="50"/>
      <c r="N12" s="98">
        <v>6216.7161410018552</v>
      </c>
      <c r="O12" s="98"/>
      <c r="Q12" s="15"/>
      <c r="R12" s="15"/>
    </row>
    <row r="13" spans="1:18">
      <c r="A13" s="1" t="s">
        <v>91</v>
      </c>
      <c r="B13" s="2"/>
      <c r="C13" s="72">
        <v>1633</v>
      </c>
      <c r="D13" s="72"/>
      <c r="E13" s="14">
        <f t="shared" si="0"/>
        <v>1633</v>
      </c>
      <c r="G13" s="11"/>
      <c r="H13" s="2">
        <f t="shared" si="3"/>
        <v>0</v>
      </c>
      <c r="I13" s="2" t="e">
        <f>+#REF!*#REF!</f>
        <v>#REF!</v>
      </c>
      <c r="J13" s="87">
        <f t="shared" si="1"/>
        <v>10353010</v>
      </c>
      <c r="K13" s="87">
        <f t="shared" si="2"/>
        <v>0</v>
      </c>
      <c r="M13" s="50"/>
      <c r="N13" s="98">
        <v>6339.8714023270059</v>
      </c>
      <c r="O13" s="98"/>
      <c r="Q13" s="15"/>
      <c r="R13" s="15"/>
    </row>
    <row r="14" spans="1:18">
      <c r="A14" s="1" t="s">
        <v>92</v>
      </c>
      <c r="B14" s="49"/>
      <c r="C14" s="72">
        <v>1594</v>
      </c>
      <c r="D14" s="72"/>
      <c r="E14" s="14">
        <f t="shared" si="0"/>
        <v>1594</v>
      </c>
      <c r="G14" s="11"/>
      <c r="H14" s="2">
        <f t="shared" si="3"/>
        <v>0</v>
      </c>
      <c r="I14" s="2" t="e">
        <f>+#REF!*#REF!</f>
        <v>#REF!</v>
      </c>
      <c r="J14" s="87">
        <f t="shared" si="1"/>
        <v>10105870</v>
      </c>
      <c r="K14" s="87">
        <f t="shared" si="2"/>
        <v>0</v>
      </c>
      <c r="M14" s="50"/>
      <c r="N14" s="98">
        <v>6339.9435382685069</v>
      </c>
      <c r="O14" s="98"/>
      <c r="Q14" s="15"/>
      <c r="R14" s="15"/>
    </row>
    <row r="15" spans="1:18">
      <c r="A15" s="1" t="s">
        <v>93</v>
      </c>
      <c r="B15" s="2"/>
      <c r="C15" s="72">
        <v>1545</v>
      </c>
      <c r="D15" s="72"/>
      <c r="E15" s="14">
        <f t="shared" si="0"/>
        <v>1545</v>
      </c>
      <c r="G15" s="11"/>
      <c r="H15" s="2">
        <f t="shared" si="3"/>
        <v>0</v>
      </c>
      <c r="I15" s="2" t="e">
        <f>+#REF!*#REF!</f>
        <v>#REF!</v>
      </c>
      <c r="J15" s="87">
        <f t="shared" si="1"/>
        <v>9795370</v>
      </c>
      <c r="K15" s="87">
        <f t="shared" si="2"/>
        <v>0</v>
      </c>
      <c r="M15" s="50"/>
      <c r="N15" s="98">
        <v>6340.0453074433653</v>
      </c>
      <c r="O15" s="98"/>
      <c r="Q15" s="15"/>
      <c r="R15" s="15"/>
    </row>
    <row r="16" spans="1:18">
      <c r="A16" s="1" t="s">
        <v>94</v>
      </c>
      <c r="B16" s="18">
        <f>SUM(B4:B15)</f>
        <v>0</v>
      </c>
      <c r="C16" s="205">
        <f>SUM(C4:C15)</f>
        <v>20242</v>
      </c>
      <c r="D16" s="205">
        <f>SUM(D4:D15)</f>
        <v>9270</v>
      </c>
      <c r="E16" s="17">
        <f>SUM(E4:E15)</f>
        <v>19423</v>
      </c>
      <c r="G16" s="26"/>
      <c r="H16" s="18">
        <f>SUM(H4:H15)</f>
        <v>0</v>
      </c>
      <c r="I16" s="18" t="e">
        <f t="shared" ref="I16:K16" si="4">SUM(I4:I15)</f>
        <v>#REF!</v>
      </c>
      <c r="J16" s="88">
        <f t="shared" si="4"/>
        <v>122492539</v>
      </c>
      <c r="K16" s="88">
        <f t="shared" si="4"/>
        <v>59674890</v>
      </c>
      <c r="M16" s="37" t="e">
        <f>AVERAGE(M4:M15)</f>
        <v>#DIV/0!</v>
      </c>
      <c r="N16" s="277">
        <f>AVERAGE(N4:N15)</f>
        <v>6129.3339794148569</v>
      </c>
      <c r="O16" s="277">
        <f>AVERAGE(O4:O15)</f>
        <v>6437.4207119741104</v>
      </c>
      <c r="Q16" s="15"/>
      <c r="R16" s="15"/>
    </row>
    <row r="17" spans="1:18">
      <c r="A17" s="172" t="s">
        <v>81</v>
      </c>
      <c r="B17" s="190"/>
      <c r="C17" s="206">
        <f>AVERAGE(C4:C15)</f>
        <v>1686.8333333333333</v>
      </c>
      <c r="D17" s="207">
        <f>AVERAGE(D4:D15)</f>
        <v>1545</v>
      </c>
      <c r="E17" s="208">
        <f>AVERAGE(E4:E15)</f>
        <v>1618.5833333333333</v>
      </c>
      <c r="G17" s="11"/>
      <c r="H17" s="15"/>
      <c r="I17" s="15"/>
      <c r="J17" s="15"/>
      <c r="K17" s="4"/>
      <c r="M17" s="73"/>
      <c r="N17" s="74"/>
      <c r="O17" s="277">
        <f>AVERAGE(N5:N15,O4:O9)</f>
        <v>6238.0704732592994</v>
      </c>
      <c r="P17" s="5" t="s">
        <v>99</v>
      </c>
    </row>
    <row r="18" spans="1:18">
      <c r="A18" s="15"/>
      <c r="B18" s="15"/>
      <c r="C18" s="15"/>
      <c r="D18" s="15"/>
      <c r="E18" s="15"/>
      <c r="F18" s="15"/>
      <c r="G18" s="11"/>
      <c r="H18" s="15"/>
      <c r="I18" s="15"/>
      <c r="J18" s="15"/>
      <c r="K18" s="4"/>
      <c r="L18" s="15"/>
      <c r="M18" s="73"/>
      <c r="N18" s="82"/>
      <c r="O18" s="82"/>
      <c r="P18" s="82"/>
    </row>
    <row r="19" spans="1:18">
      <c r="C19" s="54" t="s">
        <v>24</v>
      </c>
      <c r="D19" s="55" t="s">
        <v>27</v>
      </c>
      <c r="E19" s="56" t="str">
        <f>C1&amp;"/mes"</f>
        <v>m3/mes</v>
      </c>
      <c r="G19" s="11"/>
      <c r="H19" s="15"/>
      <c r="I19" s="15"/>
      <c r="J19" s="15"/>
      <c r="K19" s="4"/>
      <c r="M19" s="15"/>
      <c r="N19" s="15"/>
      <c r="O19" s="15"/>
      <c r="P19" s="15"/>
      <c r="Q19" s="15"/>
      <c r="R19" s="15"/>
    </row>
    <row r="20" spans="1:18" ht="22.5" customHeight="1">
      <c r="C20" s="57" t="s">
        <v>118</v>
      </c>
      <c r="D20" s="58">
        <f>+E20/$E$16</f>
        <v>1</v>
      </c>
      <c r="E20" s="59">
        <f>+E16</f>
        <v>19423</v>
      </c>
      <c r="G20" s="11"/>
      <c r="H20" s="15"/>
      <c r="I20" s="15"/>
      <c r="J20" s="15"/>
      <c r="K20" s="4"/>
      <c r="M20" s="15"/>
      <c r="N20" s="15"/>
      <c r="O20" s="15"/>
      <c r="P20" s="15"/>
      <c r="Q20" s="15"/>
      <c r="R20" s="15"/>
    </row>
    <row r="21" spans="1:18">
      <c r="C21" s="60" t="s">
        <v>94</v>
      </c>
      <c r="D21" s="53">
        <f>+D20</f>
        <v>1</v>
      </c>
      <c r="E21" s="59">
        <f>+E20</f>
        <v>19423</v>
      </c>
    </row>
  </sheetData>
  <mergeCells count="6">
    <mergeCell ref="C1:E1"/>
    <mergeCell ref="C2:E2"/>
    <mergeCell ref="N1:O1"/>
    <mergeCell ref="N2:O2"/>
    <mergeCell ref="H1:K1"/>
    <mergeCell ref="H2:K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G19"/>
  <sheetViews>
    <sheetView showGridLines="0" zoomScale="145" zoomScaleNormal="145" workbookViewId="0">
      <selection activeCell="D8" sqref="D8"/>
    </sheetView>
  </sheetViews>
  <sheetFormatPr baseColWidth="10" defaultColWidth="11.42578125" defaultRowHeight="12.75"/>
  <cols>
    <col min="1" max="1" width="27.7109375" style="25" customWidth="1"/>
    <col min="2" max="2" width="11.7109375" style="25" hidden="1" customWidth="1"/>
    <col min="3" max="5" width="16.5703125" style="25" bestFit="1" customWidth="1"/>
    <col min="6" max="6" width="17.140625" style="25" bestFit="1" customWidth="1"/>
    <col min="7" max="7" width="16" style="25" bestFit="1" customWidth="1"/>
    <col min="8" max="16384" width="11.42578125" style="25"/>
  </cols>
  <sheetData>
    <row r="1" spans="1:7" ht="31.5">
      <c r="A1" s="24" t="s">
        <v>6</v>
      </c>
      <c r="D1" s="24" t="s">
        <v>119</v>
      </c>
    </row>
    <row r="2" spans="1:7">
      <c r="A2" s="24"/>
      <c r="B2" s="1">
        <v>2020</v>
      </c>
      <c r="C2" s="1">
        <v>2021</v>
      </c>
      <c r="D2" s="1">
        <v>2022</v>
      </c>
      <c r="E2" s="1">
        <v>2023</v>
      </c>
    </row>
    <row r="3" spans="1:7">
      <c r="A3" s="24" t="s">
        <v>120</v>
      </c>
      <c r="B3" s="27">
        <f>SUM(B5:B6)</f>
        <v>0</v>
      </c>
      <c r="C3" s="27">
        <f>SUM(C4:C5)</f>
        <v>0</v>
      </c>
      <c r="D3" s="27">
        <f>SUM(D4:D5)</f>
        <v>0</v>
      </c>
      <c r="E3" s="27">
        <f>SUM(E4:E5)</f>
        <v>0</v>
      </c>
    </row>
    <row r="4" spans="1:7">
      <c r="A4" s="32" t="s">
        <v>121</v>
      </c>
      <c r="B4" s="28"/>
      <c r="C4" s="28"/>
      <c r="D4" s="75"/>
      <c r="E4" s="75"/>
      <c r="F4" s="83"/>
    </row>
    <row r="5" spans="1:7">
      <c r="A5" s="32" t="s">
        <v>122</v>
      </c>
      <c r="B5" s="28"/>
      <c r="C5" s="28"/>
      <c r="D5" s="75"/>
      <c r="E5" s="75"/>
    </row>
    <row r="6" spans="1:7" ht="21">
      <c r="A6" s="24" t="s">
        <v>123</v>
      </c>
      <c r="B6" s="27">
        <f>SUM(B7:B8)</f>
        <v>0</v>
      </c>
      <c r="C6" s="92">
        <f>SUM(C7:C8)</f>
        <v>372762000</v>
      </c>
      <c r="D6" s="92">
        <f>SUM(D7:D8)</f>
        <v>382680000</v>
      </c>
      <c r="E6" s="92">
        <f>SUM(E7:E8)</f>
        <v>425200000</v>
      </c>
    </row>
    <row r="7" spans="1:7">
      <c r="A7" s="32" t="s">
        <v>121</v>
      </c>
      <c r="B7" s="28"/>
      <c r="C7" s="87">
        <v>283500000</v>
      </c>
      <c r="D7" s="91">
        <v>283500000</v>
      </c>
      <c r="E7" s="91">
        <v>315000000</v>
      </c>
    </row>
    <row r="8" spans="1:7">
      <c r="A8" s="32" t="s">
        <v>122</v>
      </c>
      <c r="B8" s="28"/>
      <c r="C8" s="87">
        <v>89262000</v>
      </c>
      <c r="D8" s="91">
        <v>99180000</v>
      </c>
      <c r="E8" s="91">
        <v>110200000</v>
      </c>
    </row>
    <row r="9" spans="1:7">
      <c r="A9" s="24" t="s">
        <v>124</v>
      </c>
      <c r="B9" s="35" t="e">
        <f>IF(C6/B6-1&gt;0,C6/B6-1,"no 2011 costs")</f>
        <v>#DIV/0!</v>
      </c>
      <c r="C9" s="35">
        <f>IF(D6/C6-1&gt;0,D6/C6-1,"no 2012 costs")</f>
        <v>2.6606789318653679E-2</v>
      </c>
      <c r="D9" s="35">
        <f>IF(E6/D6-1&gt;0,E6/D6-1,"no 2013 costs")</f>
        <v>0.11111111111111116</v>
      </c>
      <c r="E9" s="35"/>
    </row>
    <row r="11" spans="1:7">
      <c r="F11" s="84"/>
      <c r="G11" s="84"/>
    </row>
    <row r="12" spans="1:7">
      <c r="F12" s="84"/>
      <c r="G12" s="84"/>
    </row>
    <row r="13" spans="1:7">
      <c r="F13" s="84"/>
      <c r="G13" s="84"/>
    </row>
    <row r="14" spans="1:7">
      <c r="F14" s="84"/>
      <c r="G14" s="84"/>
    </row>
    <row r="15" spans="1:7">
      <c r="F15" s="85"/>
      <c r="G15" s="85"/>
    </row>
    <row r="17" spans="6:7">
      <c r="F17" s="85"/>
      <c r="G17" s="85"/>
    </row>
    <row r="19" spans="6:7">
      <c r="F19" s="85"/>
      <c r="G19" s="85"/>
    </row>
  </sheetData>
  <pageMargins left="0.7" right="0.7" top="0.75" bottom="0.75" header="0.3" footer="0.3"/>
  <pageSetup paperSize="9" orientation="portrait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/>
  <dimension ref="A1:BW51"/>
  <sheetViews>
    <sheetView showGridLines="0" topLeftCell="AE20" zoomScaleNormal="100" workbookViewId="0">
      <selection activeCell="N37" sqref="N37"/>
    </sheetView>
  </sheetViews>
  <sheetFormatPr baseColWidth="10" defaultColWidth="11.42578125" defaultRowHeight="12.75"/>
  <cols>
    <col min="1" max="1" width="16.85546875" customWidth="1"/>
    <col min="2" max="2" width="8.28515625" bestFit="1" customWidth="1"/>
    <col min="3" max="3" width="21.7109375" customWidth="1"/>
    <col min="7" max="8" width="14.5703125" customWidth="1"/>
    <col min="13" max="13" width="58.7109375" bestFit="1" customWidth="1"/>
    <col min="14" max="14" width="8.28515625" bestFit="1" customWidth="1"/>
    <col min="26" max="26" width="15.7109375" customWidth="1"/>
    <col min="27" max="27" width="17.7109375" customWidth="1"/>
    <col min="28" max="28" width="17.5703125" customWidth="1"/>
    <col min="32" max="32" width="14.42578125" customWidth="1"/>
    <col min="34" max="34" width="26.28515625" customWidth="1"/>
    <col min="35" max="35" width="54" bestFit="1" customWidth="1"/>
    <col min="39" max="39" width="9.28515625" bestFit="1" customWidth="1"/>
    <col min="42" max="42" width="25.85546875" customWidth="1"/>
    <col min="48" max="48" width="13.140625" customWidth="1"/>
    <col min="49" max="49" width="13.5703125" customWidth="1"/>
    <col min="50" max="50" width="12.140625" bestFit="1" customWidth="1"/>
    <col min="55" max="55" width="49.28515625" customWidth="1"/>
    <col min="59" max="59" width="11.5703125" bestFit="1" customWidth="1"/>
    <col min="60" max="60" width="20.5703125" bestFit="1" customWidth="1"/>
    <col min="72" max="73" width="24" customWidth="1"/>
    <col min="74" max="75" width="25.140625" customWidth="1"/>
  </cols>
  <sheetData>
    <row r="1" spans="1:71" ht="29.45" customHeight="1">
      <c r="A1" s="1"/>
      <c r="B1" s="1"/>
      <c r="C1" s="1" t="e">
        <f>+#REF!</f>
        <v>#REF!</v>
      </c>
    </row>
    <row r="2" spans="1:71" s="33" customFormat="1" ht="15.75">
      <c r="A2" s="442" t="s">
        <v>2</v>
      </c>
      <c r="B2" s="46" t="str">
        <f>+'Unidades de Trabajo'!B9</f>
        <v>COP</v>
      </c>
      <c r="C2" s="273">
        <f>+C4*C5</f>
        <v>163178233.75679719</v>
      </c>
      <c r="M2" s="437" t="s">
        <v>125</v>
      </c>
      <c r="N2" s="438"/>
      <c r="O2" s="438"/>
      <c r="P2" s="438"/>
      <c r="Q2" s="438"/>
      <c r="R2" s="438"/>
      <c r="S2" s="438"/>
      <c r="T2" s="438"/>
      <c r="U2" s="439"/>
      <c r="V2" s="119"/>
      <c r="W2" s="119"/>
      <c r="X2" s="119"/>
      <c r="Y2" s="119"/>
      <c r="Z2" s="437" t="s">
        <v>126</v>
      </c>
      <c r="AA2" s="438"/>
      <c r="AB2" s="438"/>
      <c r="AC2" s="439"/>
      <c r="AD2" s="112"/>
      <c r="AE2" s="112"/>
      <c r="AF2" s="112"/>
      <c r="AI2" s="437" t="s">
        <v>127</v>
      </c>
      <c r="AJ2" s="438"/>
      <c r="AK2" s="438"/>
      <c r="AL2" s="438"/>
      <c r="AM2" s="438"/>
      <c r="AN2" s="438"/>
      <c r="AO2" s="438"/>
      <c r="AP2" s="438"/>
      <c r="AQ2" s="439"/>
      <c r="AR2" s="119"/>
      <c r="AS2" s="119"/>
      <c r="AT2" s="119"/>
      <c r="AU2" s="119"/>
      <c r="AV2" s="437" t="s">
        <v>126</v>
      </c>
      <c r="AW2" s="438"/>
      <c r="AX2" s="437"/>
      <c r="AY2" s="438"/>
      <c r="AZ2" s="439"/>
      <c r="BA2" s="289"/>
      <c r="BC2" s="112"/>
      <c r="BD2" s="112"/>
      <c r="BE2" s="112"/>
      <c r="BF2" s="112"/>
      <c r="BG2" s="112"/>
      <c r="BH2" s="112"/>
      <c r="BI2" s="112"/>
      <c r="BJ2" s="119"/>
      <c r="BK2" s="119"/>
      <c r="BL2" s="119"/>
      <c r="BM2" s="119"/>
      <c r="BN2" s="119"/>
      <c r="BO2" s="119"/>
      <c r="BP2" s="437" t="s">
        <v>126</v>
      </c>
      <c r="BQ2" s="439"/>
      <c r="BR2" s="436"/>
      <c r="BS2" s="436"/>
    </row>
    <row r="3" spans="1:71" s="33" customFormat="1" ht="73.5">
      <c r="A3" s="443"/>
      <c r="B3" s="46" t="s">
        <v>27</v>
      </c>
      <c r="C3" s="108">
        <f>+C2/$C$14</f>
        <v>0.93418368058115653</v>
      </c>
      <c r="M3" s="120" t="s">
        <v>128</v>
      </c>
      <c r="N3" s="121" t="s">
        <v>129</v>
      </c>
      <c r="O3" s="122" t="s">
        <v>130</v>
      </c>
      <c r="P3" s="123" t="s">
        <v>0</v>
      </c>
      <c r="Q3" s="123" t="s">
        <v>131</v>
      </c>
      <c r="R3" s="123" t="s">
        <v>132</v>
      </c>
      <c r="S3" s="123" t="s">
        <v>133</v>
      </c>
      <c r="T3" s="123" t="s">
        <v>134</v>
      </c>
      <c r="U3" s="124" t="s">
        <v>135</v>
      </c>
      <c r="V3" s="122" t="s">
        <v>129</v>
      </c>
      <c r="W3" s="122" t="s">
        <v>136</v>
      </c>
      <c r="X3" s="123" t="s">
        <v>137</v>
      </c>
      <c r="Y3" s="124" t="s">
        <v>138</v>
      </c>
      <c r="Z3" s="123" t="s">
        <v>139</v>
      </c>
      <c r="AA3" s="123" t="s">
        <v>140</v>
      </c>
      <c r="AB3" s="122" t="s">
        <v>141</v>
      </c>
      <c r="AC3" s="124" t="s">
        <v>142</v>
      </c>
      <c r="AD3" s="122" t="s">
        <v>143</v>
      </c>
      <c r="AE3" s="124" t="s">
        <v>144</v>
      </c>
      <c r="AF3" s="124" t="s">
        <v>145</v>
      </c>
      <c r="AI3" s="120" t="s">
        <v>128</v>
      </c>
      <c r="AJ3" s="121" t="s">
        <v>129</v>
      </c>
      <c r="AK3" s="122" t="s">
        <v>146</v>
      </c>
      <c r="AL3" s="123" t="s">
        <v>0</v>
      </c>
      <c r="AM3" s="123" t="s">
        <v>131</v>
      </c>
      <c r="AN3" s="123" t="s">
        <v>132</v>
      </c>
      <c r="AO3" s="123" t="s">
        <v>133</v>
      </c>
      <c r="AP3" s="123" t="s">
        <v>134</v>
      </c>
      <c r="AQ3" s="124" t="s">
        <v>135</v>
      </c>
      <c r="AR3" s="122" t="s">
        <v>129</v>
      </c>
      <c r="AS3" s="122" t="s">
        <v>136</v>
      </c>
      <c r="AT3" s="123" t="s">
        <v>147</v>
      </c>
      <c r="AU3" s="124" t="s">
        <v>138</v>
      </c>
      <c r="AV3" s="181" t="s">
        <v>139</v>
      </c>
      <c r="AW3" s="182" t="s">
        <v>140</v>
      </c>
      <c r="AX3" s="123" t="s">
        <v>148</v>
      </c>
      <c r="AY3" s="123" t="s">
        <v>149</v>
      </c>
      <c r="AZ3" s="124" t="s">
        <v>150</v>
      </c>
      <c r="BA3" s="179"/>
      <c r="BC3" s="120" t="s">
        <v>128</v>
      </c>
      <c r="BD3" s="121" t="s">
        <v>129</v>
      </c>
      <c r="BE3" s="122" t="s">
        <v>151</v>
      </c>
      <c r="BF3" s="123" t="s">
        <v>0</v>
      </c>
      <c r="BG3" s="123" t="s">
        <v>131</v>
      </c>
      <c r="BH3" s="123" t="s">
        <v>132</v>
      </c>
      <c r="BI3" s="123" t="s">
        <v>133</v>
      </c>
      <c r="BJ3" s="123" t="s">
        <v>134</v>
      </c>
      <c r="BK3" s="124" t="s">
        <v>135</v>
      </c>
      <c r="BL3" s="122" t="s">
        <v>129</v>
      </c>
      <c r="BM3" s="122" t="s">
        <v>136</v>
      </c>
      <c r="BN3" s="123" t="s">
        <v>147</v>
      </c>
      <c r="BO3" s="124" t="s">
        <v>138</v>
      </c>
      <c r="BP3" s="181" t="s">
        <v>139</v>
      </c>
      <c r="BQ3" s="182" t="s">
        <v>140</v>
      </c>
      <c r="BR3" s="179"/>
      <c r="BS3" s="179"/>
    </row>
    <row r="4" spans="1:71">
      <c r="A4" s="443"/>
      <c r="B4" s="46" t="str">
        <f>+'Unidades de Trabajo'!B4</f>
        <v>kWh</v>
      </c>
      <c r="C4" s="61">
        <f>+Precios_tarifas!C16</f>
        <v>272688.02777777775</v>
      </c>
      <c r="M4" s="125">
        <v>44562</v>
      </c>
      <c r="N4" s="126">
        <f>MONTH(M4)</f>
        <v>1</v>
      </c>
      <c r="O4" s="127">
        <v>272000</v>
      </c>
      <c r="P4" s="128">
        <v>2500</v>
      </c>
      <c r="Q4" s="129">
        <f t="shared" ref="Q4:Q20" si="0">$N$27</f>
        <v>315156.13704802882</v>
      </c>
      <c r="R4" s="130">
        <f t="shared" ref="R4:R20" si="1">$N$28</f>
        <v>302187.42469868588</v>
      </c>
      <c r="S4" s="130">
        <f>$N$25</f>
        <v>276250</v>
      </c>
      <c r="T4" s="130">
        <f t="shared" ref="T4:T20" si="2">$N$30</f>
        <v>250312.57530131412</v>
      </c>
      <c r="U4" s="131">
        <f t="shared" ref="U4:U20" si="3">$N$31</f>
        <v>237343.86295197118</v>
      </c>
      <c r="V4" s="132">
        <v>1</v>
      </c>
      <c r="W4" s="132">
        <f>O4-S4</f>
        <v>-4250</v>
      </c>
      <c r="X4" s="128" t="e">
        <f>IF(O4&gt;S4,W4,NA())</f>
        <v>#N/A</v>
      </c>
      <c r="Y4" s="126">
        <f>IF(O4&lt;S4,W4,NA())</f>
        <v>-4250</v>
      </c>
      <c r="Z4" s="133">
        <f>S4/O4</f>
        <v>1.015625</v>
      </c>
      <c r="AA4" s="133">
        <f>IF(Z4&gt;=1,Z4,NA())</f>
        <v>1.015625</v>
      </c>
      <c r="AB4" s="134">
        <f>$N$37*O4/1000</f>
        <v>34.271999999999998</v>
      </c>
      <c r="AC4" s="135">
        <f>$N$37*S4/1000</f>
        <v>34.807499999999997</v>
      </c>
      <c r="AD4" s="136" t="e">
        <f t="shared" ref="AD4:AD20" si="4">O4*12/$C$19</f>
        <v>#REF!</v>
      </c>
      <c r="AE4" s="275" t="e">
        <f t="shared" ref="AE4:AE20" si="5">S4*12/$C$19</f>
        <v>#REF!</v>
      </c>
      <c r="AF4" s="137">
        <f t="shared" ref="AF4:AF20" si="6">$N$34</f>
        <v>81.2</v>
      </c>
      <c r="AI4" s="125">
        <v>44562</v>
      </c>
      <c r="AJ4" s="126">
        <f>MONTH(AI4)</f>
        <v>1</v>
      </c>
      <c r="AK4" s="127">
        <v>0</v>
      </c>
      <c r="AL4" s="128">
        <v>0</v>
      </c>
      <c r="AM4" s="129">
        <f t="shared" ref="AM4:AM21" si="7">$AJ$27</f>
        <v>4077.0518052045272</v>
      </c>
      <c r="AN4" s="130">
        <f t="shared" ref="AN4:AN21" si="8">$AJ$28</f>
        <v>3331.4284761969575</v>
      </c>
      <c r="AO4" s="130">
        <f t="shared" ref="AO4:AO21" si="9">$AJ$29</f>
        <v>1840.1818181818182</v>
      </c>
      <c r="AP4" s="130">
        <f t="shared" ref="AP4:AP21" si="10">$AJ$30</f>
        <v>348.93516016667877</v>
      </c>
      <c r="AQ4" s="131">
        <f t="shared" ref="AQ4:AQ21" si="11">$AJ$31</f>
        <v>0</v>
      </c>
      <c r="AR4" s="132">
        <v>1</v>
      </c>
      <c r="AS4" s="130">
        <f>0</f>
        <v>0</v>
      </c>
      <c r="AT4" s="128" t="e">
        <f>IF(AK4&gt;AO4,AS4,NA())</f>
        <v>#N/A</v>
      </c>
      <c r="AU4" s="131">
        <f>IF(AK4&lt;AO4,AS4,NA())</f>
        <v>0</v>
      </c>
      <c r="AV4" s="186">
        <f>IFERROR(AO4/AK4,1)</f>
        <v>1</v>
      </c>
      <c r="AW4" s="183">
        <f>IF(AV4&gt;=1,AV4,NA())</f>
        <v>1</v>
      </c>
      <c r="AX4" s="292"/>
      <c r="AY4" s="133"/>
      <c r="AZ4" s="183"/>
      <c r="BA4" s="146"/>
      <c r="BC4" s="125">
        <v>44562</v>
      </c>
      <c r="BD4" s="126">
        <f>MONTH(BC4)</f>
        <v>1</v>
      </c>
      <c r="BE4" s="127">
        <v>902</v>
      </c>
      <c r="BF4" s="128">
        <v>2500</v>
      </c>
      <c r="BG4" s="129">
        <f t="shared" ref="BG4:BG21" si="12">$BD$27</f>
        <v>662.93194478119517</v>
      </c>
      <c r="BH4" s="130">
        <f t="shared" ref="BH4:BH21" si="13">+$BD$28</f>
        <v>614.65159955109982</v>
      </c>
      <c r="BI4" s="130">
        <f t="shared" ref="BI4:BI21" si="14">+$BD$29</f>
        <v>518.09090909090912</v>
      </c>
      <c r="BJ4" s="130">
        <f t="shared" ref="BJ4:BJ21" si="15">$BD$30</f>
        <v>421.53021863071842</v>
      </c>
      <c r="BK4" s="131">
        <f t="shared" ref="BK4:BK21" si="16">+$BD$31</f>
        <v>373.24987340062307</v>
      </c>
      <c r="BL4" s="132">
        <v>1</v>
      </c>
      <c r="BM4" s="130">
        <f>BE4-BI4</f>
        <v>383.90909090909088</v>
      </c>
      <c r="BN4" s="128">
        <f>IF(BE4&gt;BI4,BM4,NA())</f>
        <v>383.90909090909088</v>
      </c>
      <c r="BO4" s="131" t="e">
        <f>IF(BE4&lt;BI4,BM4,NA())</f>
        <v>#N/A</v>
      </c>
      <c r="BP4" s="186">
        <f>BI4/BE4</f>
        <v>0.57438016528925628</v>
      </c>
      <c r="BQ4" s="183" t="e">
        <f>IF(BP4&gt;=1,BP4,NA())</f>
        <v>#N/A</v>
      </c>
      <c r="BR4" s="192"/>
      <c r="BS4" s="192"/>
    </row>
    <row r="5" spans="1:71" ht="21">
      <c r="A5" s="444"/>
      <c r="B5" s="46" t="str">
        <f>+Electricidad!$K$1</f>
        <v xml:space="preserve"> COP /kWh</v>
      </c>
      <c r="C5" s="274">
        <f>+Precios_tarifas!C9</f>
        <v>598.40629999999999</v>
      </c>
      <c r="M5" s="138">
        <v>44593</v>
      </c>
      <c r="N5" s="139">
        <f t="shared" ref="N5:N20" si="17">MONTH(M5)</f>
        <v>2</v>
      </c>
      <c r="O5" s="140">
        <v>297000</v>
      </c>
      <c r="P5" s="141">
        <v>2500</v>
      </c>
      <c r="Q5" s="142">
        <f t="shared" si="0"/>
        <v>315156.13704802882</v>
      </c>
      <c r="R5" s="143">
        <f t="shared" si="1"/>
        <v>302187.42469868588</v>
      </c>
      <c r="S5" s="143">
        <f t="shared" ref="S5:S20" si="18">$N$25</f>
        <v>276250</v>
      </c>
      <c r="T5" s="143">
        <f t="shared" si="2"/>
        <v>250312.57530131412</v>
      </c>
      <c r="U5" s="144">
        <f t="shared" si="3"/>
        <v>237343.86295197118</v>
      </c>
      <c r="V5" s="145">
        <v>2</v>
      </c>
      <c r="W5" s="145">
        <f>W4+(O5-S5)</f>
        <v>16500</v>
      </c>
      <c r="X5" s="141">
        <f t="shared" ref="X5:X20" si="19">IF(O5&gt;S5,W5,NA())</f>
        <v>16500</v>
      </c>
      <c r="Y5" s="139" t="e">
        <f t="shared" ref="Y5:Y20" si="20">IF(O5&lt;S5,W5,NA())</f>
        <v>#N/A</v>
      </c>
      <c r="Z5" s="146">
        <f t="shared" ref="Z5:Z20" si="21">S5/O5</f>
        <v>0.93013468013468015</v>
      </c>
      <c r="AA5" s="146" t="e">
        <f t="shared" ref="AA5:AA20" si="22">IF(Z5&gt;=1,Z5,NA())</f>
        <v>#N/A</v>
      </c>
      <c r="AB5" s="147">
        <f t="shared" ref="AB5:AB20" si="23">$N$37*O5/1000</f>
        <v>37.421999999999997</v>
      </c>
      <c r="AC5" s="148">
        <f t="shared" ref="AC5:AC20" si="24">$N$37*S5/1000</f>
        <v>34.807499999999997</v>
      </c>
      <c r="AD5" s="149" t="e">
        <f t="shared" si="4"/>
        <v>#REF!</v>
      </c>
      <c r="AE5" s="180" t="e">
        <f t="shared" si="5"/>
        <v>#REF!</v>
      </c>
      <c r="AF5" s="150">
        <f t="shared" si="6"/>
        <v>81.2</v>
      </c>
      <c r="AG5" t="e">
        <f>(AF5-AE5)/AF5</f>
        <v>#REF!</v>
      </c>
      <c r="AI5" s="138">
        <v>44593</v>
      </c>
      <c r="AJ5" s="139">
        <f t="shared" ref="AJ5:AJ20" si="25">MONTH(AI5)</f>
        <v>2</v>
      </c>
      <c r="AK5" s="140">
        <v>2923</v>
      </c>
      <c r="AL5" s="141">
        <f>90%*2500</f>
        <v>2250</v>
      </c>
      <c r="AM5" s="142">
        <f t="shared" si="7"/>
        <v>4077.0518052045272</v>
      </c>
      <c r="AN5" s="143">
        <f t="shared" si="8"/>
        <v>3331.4284761969575</v>
      </c>
      <c r="AO5" s="143">
        <f t="shared" si="9"/>
        <v>1840.1818181818182</v>
      </c>
      <c r="AP5" s="143">
        <f t="shared" si="10"/>
        <v>348.93516016667877</v>
      </c>
      <c r="AQ5" s="144">
        <f t="shared" si="11"/>
        <v>0</v>
      </c>
      <c r="AR5" s="145">
        <v>2</v>
      </c>
      <c r="AS5" s="143">
        <f>(AK5-AO5)+AS4</f>
        <v>1082.8181818181818</v>
      </c>
      <c r="AT5" s="141">
        <f t="shared" ref="AT5:AT20" si="26">IF(AK5&gt;AO5,AS5,NA())</f>
        <v>1082.8181818181818</v>
      </c>
      <c r="AU5" s="144" t="e">
        <f t="shared" ref="AU5:AU20" si="27">IF(AK5&lt;AO5,AS5,NA())</f>
        <v>#N/A</v>
      </c>
      <c r="AV5" s="187">
        <f t="shared" ref="AV5:AV20" si="28">AO5/AK5</f>
        <v>0.62955245233726254</v>
      </c>
      <c r="AW5" s="184" t="e">
        <f t="shared" ref="AW5:AW20" si="29">IF(AV5&gt;=1,AV5,NA())</f>
        <v>#N/A</v>
      </c>
      <c r="AX5" s="293">
        <f>(AK5*1000/30)/AL5</f>
        <v>43.303703703703704</v>
      </c>
      <c r="AY5" s="290">
        <f>AVERAGE(AX$5:AX$15)</f>
        <v>36.371043771043773</v>
      </c>
      <c r="AZ5" s="291">
        <f>$AJ$34</f>
        <v>45</v>
      </c>
      <c r="BA5" s="146"/>
      <c r="BC5" s="138">
        <v>44593</v>
      </c>
      <c r="BD5" s="139">
        <f t="shared" ref="BD5:BD20" si="30">MONTH(BC5)</f>
        <v>2</v>
      </c>
      <c r="BE5" s="140">
        <v>522</v>
      </c>
      <c r="BF5" s="141">
        <v>2500</v>
      </c>
      <c r="BG5" s="142">
        <f t="shared" si="12"/>
        <v>662.93194478119517</v>
      </c>
      <c r="BH5" s="143">
        <f t="shared" si="13"/>
        <v>614.65159955109982</v>
      </c>
      <c r="BI5" s="143">
        <f t="shared" si="14"/>
        <v>518.09090909090912</v>
      </c>
      <c r="BJ5" s="143">
        <f t="shared" si="15"/>
        <v>421.53021863071842</v>
      </c>
      <c r="BK5" s="144">
        <f t="shared" si="16"/>
        <v>373.24987340062307</v>
      </c>
      <c r="BL5" s="145">
        <v>2</v>
      </c>
      <c r="BM5" s="143">
        <f>(BE5-BI5)+BM4</f>
        <v>387.81818181818176</v>
      </c>
      <c r="BN5" s="141">
        <f t="shared" ref="BN5:BN20" si="31">IF(BE5&gt;BI5,BM5,NA())</f>
        <v>387.81818181818176</v>
      </c>
      <c r="BO5" s="144" t="e">
        <f t="shared" ref="BO5:BO20" si="32">IF(BE5&lt;BI5,BM5,NA())</f>
        <v>#N/A</v>
      </c>
      <c r="BP5" s="187">
        <f t="shared" ref="BP5:BP20" si="33">BI5/BE5</f>
        <v>0.99251132009752707</v>
      </c>
      <c r="BQ5" s="184" t="e">
        <f t="shared" ref="BQ5:BQ20" si="34">IF(BP5&gt;=1,BP5,NA())</f>
        <v>#N/A</v>
      </c>
      <c r="BR5" s="192"/>
      <c r="BS5" s="192"/>
    </row>
    <row r="6" spans="1:71">
      <c r="A6" s="442" t="s">
        <v>112</v>
      </c>
      <c r="B6" s="46" t="str">
        <f>+'Unidades de Trabajo'!B9</f>
        <v>COP</v>
      </c>
      <c r="C6" s="273">
        <f>+C8*C9</f>
        <v>1399607.5126171815</v>
      </c>
      <c r="M6" s="138">
        <v>44621</v>
      </c>
      <c r="N6" s="139">
        <f t="shared" si="17"/>
        <v>3</v>
      </c>
      <c r="O6" s="151">
        <v>265000</v>
      </c>
      <c r="P6" s="141">
        <v>2500</v>
      </c>
      <c r="Q6" s="142">
        <f t="shared" si="0"/>
        <v>315156.13704802882</v>
      </c>
      <c r="R6" s="143">
        <f t="shared" si="1"/>
        <v>302187.42469868588</v>
      </c>
      <c r="S6" s="143">
        <f t="shared" si="18"/>
        <v>276250</v>
      </c>
      <c r="T6" s="143">
        <f t="shared" si="2"/>
        <v>250312.57530131412</v>
      </c>
      <c r="U6" s="144">
        <f t="shared" si="3"/>
        <v>237343.86295197118</v>
      </c>
      <c r="V6" s="145">
        <v>3</v>
      </c>
      <c r="W6" s="145">
        <f t="shared" ref="W6:W20" si="35">W5+(O6-S6)</f>
        <v>5250</v>
      </c>
      <c r="X6" s="141" t="e">
        <f t="shared" si="19"/>
        <v>#N/A</v>
      </c>
      <c r="Y6" s="139">
        <f t="shared" si="20"/>
        <v>5250</v>
      </c>
      <c r="Z6" s="146">
        <f t="shared" si="21"/>
        <v>1.0424528301886793</v>
      </c>
      <c r="AA6" s="146">
        <f t="shared" si="22"/>
        <v>1.0424528301886793</v>
      </c>
      <c r="AB6" s="147">
        <f t="shared" si="23"/>
        <v>33.39</v>
      </c>
      <c r="AC6" s="148">
        <f t="shared" si="24"/>
        <v>34.807499999999997</v>
      </c>
      <c r="AD6" s="149" t="e">
        <f t="shared" si="4"/>
        <v>#REF!</v>
      </c>
      <c r="AE6" s="180" t="e">
        <f t="shared" si="5"/>
        <v>#REF!</v>
      </c>
      <c r="AF6" s="150">
        <f t="shared" si="6"/>
        <v>81.2</v>
      </c>
      <c r="AI6" s="138">
        <v>44621</v>
      </c>
      <c r="AJ6" s="139">
        <f t="shared" si="25"/>
        <v>3</v>
      </c>
      <c r="AK6" s="151">
        <v>3793</v>
      </c>
      <c r="AL6" s="141">
        <f>2500</f>
        <v>2500</v>
      </c>
      <c r="AM6" s="142">
        <f t="shared" si="7"/>
        <v>4077.0518052045272</v>
      </c>
      <c r="AN6" s="143">
        <f t="shared" si="8"/>
        <v>3331.4284761969575</v>
      </c>
      <c r="AO6" s="143">
        <f t="shared" si="9"/>
        <v>1840.1818181818182</v>
      </c>
      <c r="AP6" s="143">
        <f t="shared" si="10"/>
        <v>348.93516016667877</v>
      </c>
      <c r="AQ6" s="144">
        <f t="shared" si="11"/>
        <v>0</v>
      </c>
      <c r="AR6" s="145">
        <v>3</v>
      </c>
      <c r="AS6" s="143">
        <f t="shared" ref="AS6:AS20" si="36">(AK6-AO6)+AS5</f>
        <v>3035.6363636363635</v>
      </c>
      <c r="AT6" s="141">
        <f t="shared" si="26"/>
        <v>3035.6363636363635</v>
      </c>
      <c r="AU6" s="144" t="e">
        <f t="shared" si="27"/>
        <v>#N/A</v>
      </c>
      <c r="AV6" s="187">
        <f t="shared" si="28"/>
        <v>0.48515207439541741</v>
      </c>
      <c r="AW6" s="184" t="e">
        <f t="shared" si="29"/>
        <v>#N/A</v>
      </c>
      <c r="AX6" s="293">
        <f t="shared" ref="AX6:AX21" si="37">(AK6*1000/30)/AL6</f>
        <v>50.573333333333331</v>
      </c>
      <c r="AY6" s="290">
        <f t="shared" ref="AY6:AY21" si="38">AVERAGE(AX$5:AX$15)</f>
        <v>36.371043771043773</v>
      </c>
      <c r="AZ6" s="291">
        <f t="shared" ref="AZ6:AZ21" si="39">$AJ$34</f>
        <v>45</v>
      </c>
      <c r="BA6" s="146"/>
      <c r="BC6" s="138">
        <v>44621</v>
      </c>
      <c r="BD6" s="139">
        <f t="shared" si="30"/>
        <v>3</v>
      </c>
      <c r="BE6" s="151">
        <v>544</v>
      </c>
      <c r="BF6" s="141">
        <v>2500</v>
      </c>
      <c r="BG6" s="142">
        <f t="shared" si="12"/>
        <v>662.93194478119517</v>
      </c>
      <c r="BH6" s="143">
        <f t="shared" si="13"/>
        <v>614.65159955109982</v>
      </c>
      <c r="BI6" s="143">
        <f t="shared" si="14"/>
        <v>518.09090909090912</v>
      </c>
      <c r="BJ6" s="143">
        <f t="shared" si="15"/>
        <v>421.53021863071842</v>
      </c>
      <c r="BK6" s="144">
        <f t="shared" si="16"/>
        <v>373.24987340062307</v>
      </c>
      <c r="BL6" s="145">
        <v>3</v>
      </c>
      <c r="BM6" s="143">
        <f t="shared" ref="BM6:BM20" si="40">(BE6-BI6)+BM5</f>
        <v>413.72727272727263</v>
      </c>
      <c r="BN6" s="141">
        <f t="shared" si="31"/>
        <v>413.72727272727263</v>
      </c>
      <c r="BO6" s="144" t="e">
        <f t="shared" si="32"/>
        <v>#N/A</v>
      </c>
      <c r="BP6" s="187">
        <f t="shared" si="33"/>
        <v>0.95237299465240643</v>
      </c>
      <c r="BQ6" s="184" t="e">
        <f t="shared" si="34"/>
        <v>#N/A</v>
      </c>
      <c r="BR6" s="192"/>
      <c r="BS6" s="192"/>
    </row>
    <row r="7" spans="1:71">
      <c r="A7" s="443"/>
      <c r="B7" s="46" t="s">
        <v>27</v>
      </c>
      <c r="C7" s="108">
        <f>+C6/$C$14</f>
        <v>8.0126525909972515E-3</v>
      </c>
      <c r="M7" s="138">
        <v>44652</v>
      </c>
      <c r="N7" s="139">
        <f t="shared" si="17"/>
        <v>4</v>
      </c>
      <c r="O7" s="151">
        <v>271000</v>
      </c>
      <c r="P7" s="141">
        <v>2500</v>
      </c>
      <c r="Q7" s="142">
        <f t="shared" si="0"/>
        <v>315156.13704802882</v>
      </c>
      <c r="R7" s="143">
        <f t="shared" si="1"/>
        <v>302187.42469868588</v>
      </c>
      <c r="S7" s="143">
        <f t="shared" si="18"/>
        <v>276250</v>
      </c>
      <c r="T7" s="143">
        <f t="shared" si="2"/>
        <v>250312.57530131412</v>
      </c>
      <c r="U7" s="144">
        <f t="shared" si="3"/>
        <v>237343.86295197118</v>
      </c>
      <c r="V7" s="145">
        <v>4</v>
      </c>
      <c r="W7" s="145">
        <f t="shared" si="35"/>
        <v>0</v>
      </c>
      <c r="X7" s="141" t="e">
        <f t="shared" si="19"/>
        <v>#N/A</v>
      </c>
      <c r="Y7" s="139">
        <f t="shared" si="20"/>
        <v>0</v>
      </c>
      <c r="Z7" s="146">
        <f t="shared" si="21"/>
        <v>1.0193726937269372</v>
      </c>
      <c r="AA7" s="146">
        <f t="shared" si="22"/>
        <v>1.0193726937269372</v>
      </c>
      <c r="AB7" s="147">
        <f t="shared" si="23"/>
        <v>34.146000000000001</v>
      </c>
      <c r="AC7" s="148">
        <f t="shared" si="24"/>
        <v>34.807499999999997</v>
      </c>
      <c r="AD7" s="149" t="e">
        <f t="shared" si="4"/>
        <v>#REF!</v>
      </c>
      <c r="AE7" s="180" t="e">
        <f t="shared" si="5"/>
        <v>#REF!</v>
      </c>
      <c r="AF7" s="150">
        <f t="shared" si="6"/>
        <v>81.2</v>
      </c>
      <c r="AI7" s="138">
        <v>44652</v>
      </c>
      <c r="AJ7" s="139">
        <f t="shared" si="25"/>
        <v>4</v>
      </c>
      <c r="AK7" s="151">
        <v>1266</v>
      </c>
      <c r="AL7" s="141">
        <f>50%*2500</f>
        <v>1250</v>
      </c>
      <c r="AM7" s="142">
        <f t="shared" si="7"/>
        <v>4077.0518052045272</v>
      </c>
      <c r="AN7" s="143">
        <f t="shared" si="8"/>
        <v>3331.4284761969575</v>
      </c>
      <c r="AO7" s="143">
        <f t="shared" si="9"/>
        <v>1840.1818181818182</v>
      </c>
      <c r="AP7" s="143">
        <f t="shared" si="10"/>
        <v>348.93516016667877</v>
      </c>
      <c r="AQ7" s="144">
        <f t="shared" si="11"/>
        <v>0</v>
      </c>
      <c r="AR7" s="145">
        <v>4</v>
      </c>
      <c r="AS7" s="143">
        <f t="shared" si="36"/>
        <v>2461.454545454545</v>
      </c>
      <c r="AT7" s="141" t="e">
        <f t="shared" si="26"/>
        <v>#N/A</v>
      </c>
      <c r="AU7" s="144">
        <f t="shared" si="27"/>
        <v>2461.454545454545</v>
      </c>
      <c r="AV7" s="187">
        <f t="shared" si="28"/>
        <v>1.4535401407439323</v>
      </c>
      <c r="AW7" s="184">
        <f t="shared" si="29"/>
        <v>1.4535401407439323</v>
      </c>
      <c r="AX7" s="293">
        <f t="shared" si="37"/>
        <v>33.76</v>
      </c>
      <c r="AY7" s="290">
        <f t="shared" si="38"/>
        <v>36.371043771043773</v>
      </c>
      <c r="AZ7" s="291">
        <f t="shared" si="39"/>
        <v>45</v>
      </c>
      <c r="BA7" s="146"/>
      <c r="BC7" s="138">
        <v>44652</v>
      </c>
      <c r="BD7" s="139">
        <f t="shared" si="30"/>
        <v>4</v>
      </c>
      <c r="BE7" s="151">
        <v>611</v>
      </c>
      <c r="BF7" s="141">
        <v>2500</v>
      </c>
      <c r="BG7" s="142">
        <f t="shared" si="12"/>
        <v>662.93194478119517</v>
      </c>
      <c r="BH7" s="143">
        <f t="shared" si="13"/>
        <v>614.65159955109982</v>
      </c>
      <c r="BI7" s="143">
        <f t="shared" si="14"/>
        <v>518.09090909090912</v>
      </c>
      <c r="BJ7" s="143">
        <f t="shared" si="15"/>
        <v>421.53021863071842</v>
      </c>
      <c r="BK7" s="144">
        <f t="shared" si="16"/>
        <v>373.24987340062307</v>
      </c>
      <c r="BL7" s="145">
        <v>4</v>
      </c>
      <c r="BM7" s="143">
        <f t="shared" si="40"/>
        <v>506.63636363636351</v>
      </c>
      <c r="BN7" s="141">
        <f t="shared" si="31"/>
        <v>506.63636363636351</v>
      </c>
      <c r="BO7" s="144" t="e">
        <f t="shared" si="32"/>
        <v>#N/A</v>
      </c>
      <c r="BP7" s="187">
        <f t="shared" si="33"/>
        <v>0.84793929474780538</v>
      </c>
      <c r="BQ7" s="184" t="e">
        <f t="shared" si="34"/>
        <v>#N/A</v>
      </c>
      <c r="BR7" s="192"/>
      <c r="BS7" s="192"/>
    </row>
    <row r="8" spans="1:71">
      <c r="A8" s="443"/>
      <c r="B8" s="46" t="str">
        <f>+'Unidades de Trabajo'!B5</f>
        <v>m3</v>
      </c>
      <c r="C8" s="61">
        <f>+Precios_tarifas!C17</f>
        <v>510.75</v>
      </c>
      <c r="M8" s="138">
        <v>44682</v>
      </c>
      <c r="N8" s="139">
        <f t="shared" si="17"/>
        <v>5</v>
      </c>
      <c r="O8" s="151">
        <v>269000</v>
      </c>
      <c r="P8" s="141">
        <v>2500</v>
      </c>
      <c r="Q8" s="142">
        <f t="shared" si="0"/>
        <v>315156.13704802882</v>
      </c>
      <c r="R8" s="143">
        <f t="shared" si="1"/>
        <v>302187.42469868588</v>
      </c>
      <c r="S8" s="143">
        <f t="shared" si="18"/>
        <v>276250</v>
      </c>
      <c r="T8" s="143">
        <f t="shared" si="2"/>
        <v>250312.57530131412</v>
      </c>
      <c r="U8" s="144">
        <f t="shared" si="3"/>
        <v>237343.86295197118</v>
      </c>
      <c r="V8" s="145">
        <v>5</v>
      </c>
      <c r="W8" s="145">
        <f t="shared" si="35"/>
        <v>-7250</v>
      </c>
      <c r="X8" s="141" t="e">
        <f t="shared" si="19"/>
        <v>#N/A</v>
      </c>
      <c r="Y8" s="139">
        <f t="shared" si="20"/>
        <v>-7250</v>
      </c>
      <c r="Z8" s="146">
        <f t="shared" si="21"/>
        <v>1.0269516728624535</v>
      </c>
      <c r="AA8" s="146">
        <f t="shared" si="22"/>
        <v>1.0269516728624535</v>
      </c>
      <c r="AB8" s="147">
        <f t="shared" si="23"/>
        <v>33.893999999999998</v>
      </c>
      <c r="AC8" s="148">
        <f t="shared" si="24"/>
        <v>34.807499999999997</v>
      </c>
      <c r="AD8" s="149" t="e">
        <f t="shared" si="4"/>
        <v>#REF!</v>
      </c>
      <c r="AE8" s="180" t="e">
        <f t="shared" si="5"/>
        <v>#REF!</v>
      </c>
      <c r="AF8" s="150">
        <f t="shared" si="6"/>
        <v>81.2</v>
      </c>
      <c r="AI8" s="138">
        <v>44682</v>
      </c>
      <c r="AJ8" s="139">
        <f t="shared" si="25"/>
        <v>5</v>
      </c>
      <c r="AK8" s="151">
        <v>1445</v>
      </c>
      <c r="AL8" s="141">
        <f t="shared" ref="AL8:AL21" si="41">60%*2500</f>
        <v>1500</v>
      </c>
      <c r="AM8" s="142">
        <f t="shared" si="7"/>
        <v>4077.0518052045272</v>
      </c>
      <c r="AN8" s="143">
        <f t="shared" si="8"/>
        <v>3331.4284761969575</v>
      </c>
      <c r="AO8" s="143">
        <f t="shared" si="9"/>
        <v>1840.1818181818182</v>
      </c>
      <c r="AP8" s="143">
        <f t="shared" si="10"/>
        <v>348.93516016667877</v>
      </c>
      <c r="AQ8" s="144">
        <f t="shared" si="11"/>
        <v>0</v>
      </c>
      <c r="AR8" s="145">
        <v>5</v>
      </c>
      <c r="AS8" s="143">
        <f t="shared" si="36"/>
        <v>2066.272727272727</v>
      </c>
      <c r="AT8" s="141" t="e">
        <f t="shared" si="26"/>
        <v>#N/A</v>
      </c>
      <c r="AU8" s="144">
        <f t="shared" si="27"/>
        <v>2066.272727272727</v>
      </c>
      <c r="AV8" s="187">
        <f t="shared" si="28"/>
        <v>1.2734822271154451</v>
      </c>
      <c r="AW8" s="184">
        <f t="shared" si="29"/>
        <v>1.2734822271154451</v>
      </c>
      <c r="AX8" s="293">
        <f t="shared" si="37"/>
        <v>32.111111111111107</v>
      </c>
      <c r="AY8" s="290">
        <f t="shared" si="38"/>
        <v>36.371043771043773</v>
      </c>
      <c r="AZ8" s="291">
        <f t="shared" si="39"/>
        <v>45</v>
      </c>
      <c r="BA8" s="146"/>
      <c r="BC8" s="138">
        <v>44682</v>
      </c>
      <c r="BD8" s="139">
        <f t="shared" si="30"/>
        <v>5</v>
      </c>
      <c r="BE8" s="151">
        <v>482</v>
      </c>
      <c r="BF8" s="141">
        <v>2500</v>
      </c>
      <c r="BG8" s="142">
        <f t="shared" si="12"/>
        <v>662.93194478119517</v>
      </c>
      <c r="BH8" s="143">
        <f t="shared" si="13"/>
        <v>614.65159955109982</v>
      </c>
      <c r="BI8" s="143">
        <f t="shared" si="14"/>
        <v>518.09090909090912</v>
      </c>
      <c r="BJ8" s="143">
        <f t="shared" si="15"/>
        <v>421.53021863071842</v>
      </c>
      <c r="BK8" s="144">
        <f t="shared" si="16"/>
        <v>373.24987340062307</v>
      </c>
      <c r="BL8" s="145">
        <v>5</v>
      </c>
      <c r="BM8" s="143">
        <f t="shared" si="40"/>
        <v>470.54545454545439</v>
      </c>
      <c r="BN8" s="141" t="e">
        <f t="shared" si="31"/>
        <v>#N/A</v>
      </c>
      <c r="BO8" s="144">
        <f t="shared" si="32"/>
        <v>470.54545454545439</v>
      </c>
      <c r="BP8" s="187">
        <f t="shared" si="33"/>
        <v>1.0748774047529235</v>
      </c>
      <c r="BQ8" s="184">
        <f t="shared" si="34"/>
        <v>1.0748774047529235</v>
      </c>
      <c r="BR8" s="192"/>
      <c r="BS8" s="192"/>
    </row>
    <row r="9" spans="1:71" ht="21">
      <c r="A9" s="444"/>
      <c r="B9" s="46" t="str">
        <f>" "&amp;'Unidades de Trabajo'!B9&amp;" /"&amp;'Unidades de Trabajo'!B5&amp;""</f>
        <v xml:space="preserve"> COP /m3</v>
      </c>
      <c r="C9" s="274">
        <f>+Precios_tarifas!C10</f>
        <v>2740.2986052220881</v>
      </c>
      <c r="M9" s="138">
        <v>44713</v>
      </c>
      <c r="N9" s="139">
        <f t="shared" si="17"/>
        <v>6</v>
      </c>
      <c r="O9" s="151">
        <v>273000</v>
      </c>
      <c r="P9" s="141">
        <v>2500</v>
      </c>
      <c r="Q9" s="142">
        <f t="shared" si="0"/>
        <v>315156.13704802882</v>
      </c>
      <c r="R9" s="143">
        <f t="shared" si="1"/>
        <v>302187.42469868588</v>
      </c>
      <c r="S9" s="143">
        <f t="shared" si="18"/>
        <v>276250</v>
      </c>
      <c r="T9" s="143">
        <f t="shared" si="2"/>
        <v>250312.57530131412</v>
      </c>
      <c r="U9" s="144">
        <f t="shared" si="3"/>
        <v>237343.86295197118</v>
      </c>
      <c r="V9" s="145">
        <v>6</v>
      </c>
      <c r="W9" s="145">
        <f t="shared" si="35"/>
        <v>-10500</v>
      </c>
      <c r="X9" s="141" t="e">
        <f t="shared" si="19"/>
        <v>#N/A</v>
      </c>
      <c r="Y9" s="139">
        <f t="shared" si="20"/>
        <v>-10500</v>
      </c>
      <c r="Z9" s="146">
        <f t="shared" si="21"/>
        <v>1.0119047619047619</v>
      </c>
      <c r="AA9" s="146">
        <f t="shared" si="22"/>
        <v>1.0119047619047619</v>
      </c>
      <c r="AB9" s="147">
        <f t="shared" si="23"/>
        <v>34.398000000000003</v>
      </c>
      <c r="AC9" s="148">
        <f t="shared" si="24"/>
        <v>34.807499999999997</v>
      </c>
      <c r="AD9" s="149" t="e">
        <f t="shared" si="4"/>
        <v>#REF!</v>
      </c>
      <c r="AE9" s="180" t="e">
        <f t="shared" si="5"/>
        <v>#REF!</v>
      </c>
      <c r="AF9" s="150">
        <f t="shared" si="6"/>
        <v>81.2</v>
      </c>
      <c r="AI9" s="138">
        <v>44713</v>
      </c>
      <c r="AJ9" s="139">
        <f t="shared" si="25"/>
        <v>6</v>
      </c>
      <c r="AK9" s="151">
        <v>1481</v>
      </c>
      <c r="AL9" s="141">
        <f t="shared" si="41"/>
        <v>1500</v>
      </c>
      <c r="AM9" s="142">
        <f t="shared" si="7"/>
        <v>4077.0518052045272</v>
      </c>
      <c r="AN9" s="143">
        <f t="shared" si="8"/>
        <v>3331.4284761969575</v>
      </c>
      <c r="AO9" s="143">
        <f t="shared" si="9"/>
        <v>1840.1818181818182</v>
      </c>
      <c r="AP9" s="143">
        <f t="shared" si="10"/>
        <v>348.93516016667877</v>
      </c>
      <c r="AQ9" s="144">
        <f t="shared" si="11"/>
        <v>0</v>
      </c>
      <c r="AR9" s="145">
        <v>6</v>
      </c>
      <c r="AS9" s="143">
        <f t="shared" si="36"/>
        <v>1707.0909090909088</v>
      </c>
      <c r="AT9" s="141" t="e">
        <f t="shared" si="26"/>
        <v>#N/A</v>
      </c>
      <c r="AU9" s="144">
        <f t="shared" si="27"/>
        <v>1707.0909090909088</v>
      </c>
      <c r="AV9" s="187">
        <f t="shared" si="28"/>
        <v>1.2425265484009576</v>
      </c>
      <c r="AW9" s="184">
        <f t="shared" si="29"/>
        <v>1.2425265484009576</v>
      </c>
      <c r="AX9" s="293">
        <f t="shared" si="37"/>
        <v>32.911111111111111</v>
      </c>
      <c r="AY9" s="290">
        <f t="shared" si="38"/>
        <v>36.371043771043773</v>
      </c>
      <c r="AZ9" s="291">
        <f t="shared" si="39"/>
        <v>45</v>
      </c>
      <c r="BA9" s="146"/>
      <c r="BC9" s="138">
        <v>44713</v>
      </c>
      <c r="BD9" s="139">
        <f t="shared" si="30"/>
        <v>6</v>
      </c>
      <c r="BE9" s="151">
        <v>544</v>
      </c>
      <c r="BF9" s="141">
        <v>2500</v>
      </c>
      <c r="BG9" s="142">
        <f t="shared" si="12"/>
        <v>662.93194478119517</v>
      </c>
      <c r="BH9" s="143">
        <f t="shared" si="13"/>
        <v>614.65159955109982</v>
      </c>
      <c r="BI9" s="143">
        <f t="shared" si="14"/>
        <v>518.09090909090912</v>
      </c>
      <c r="BJ9" s="143">
        <f t="shared" si="15"/>
        <v>421.53021863071842</v>
      </c>
      <c r="BK9" s="144">
        <f t="shared" si="16"/>
        <v>373.24987340062307</v>
      </c>
      <c r="BL9" s="145">
        <v>6</v>
      </c>
      <c r="BM9" s="143">
        <f t="shared" si="40"/>
        <v>496.45454545454527</v>
      </c>
      <c r="BN9" s="141">
        <f t="shared" si="31"/>
        <v>496.45454545454527</v>
      </c>
      <c r="BO9" s="144" t="e">
        <f t="shared" si="32"/>
        <v>#N/A</v>
      </c>
      <c r="BP9" s="187">
        <f t="shared" si="33"/>
        <v>0.95237299465240643</v>
      </c>
      <c r="BQ9" s="184" t="e">
        <f t="shared" si="34"/>
        <v>#N/A</v>
      </c>
      <c r="BR9" s="192"/>
      <c r="BS9" s="192"/>
    </row>
    <row r="10" spans="1:71">
      <c r="A10" s="442" t="s">
        <v>24</v>
      </c>
      <c r="B10" s="46" t="s">
        <v>20</v>
      </c>
      <c r="C10" s="273">
        <f>+C12*C13</f>
        <v>10096836.900176281</v>
      </c>
      <c r="M10" s="138">
        <v>44743</v>
      </c>
      <c r="N10" s="139">
        <f t="shared" si="17"/>
        <v>7</v>
      </c>
      <c r="O10" s="151">
        <v>283000</v>
      </c>
      <c r="P10" s="141">
        <v>2500</v>
      </c>
      <c r="Q10" s="142">
        <f t="shared" si="0"/>
        <v>315156.13704802882</v>
      </c>
      <c r="R10" s="143">
        <f t="shared" si="1"/>
        <v>302187.42469868588</v>
      </c>
      <c r="S10" s="143">
        <f t="shared" si="18"/>
        <v>276250</v>
      </c>
      <c r="T10" s="143">
        <f t="shared" si="2"/>
        <v>250312.57530131412</v>
      </c>
      <c r="U10" s="144">
        <f t="shared" si="3"/>
        <v>237343.86295197118</v>
      </c>
      <c r="V10" s="145">
        <v>7</v>
      </c>
      <c r="W10" s="145">
        <f t="shared" si="35"/>
        <v>-3750</v>
      </c>
      <c r="X10" s="141">
        <f t="shared" si="19"/>
        <v>-3750</v>
      </c>
      <c r="Y10" s="139" t="e">
        <f t="shared" si="20"/>
        <v>#N/A</v>
      </c>
      <c r="Z10" s="146">
        <f t="shared" si="21"/>
        <v>0.97614840989399299</v>
      </c>
      <c r="AA10" s="146" t="e">
        <f t="shared" si="22"/>
        <v>#N/A</v>
      </c>
      <c r="AB10" s="147">
        <f t="shared" si="23"/>
        <v>35.658000000000001</v>
      </c>
      <c r="AC10" s="148">
        <f t="shared" si="24"/>
        <v>34.807499999999997</v>
      </c>
      <c r="AD10" s="149" t="e">
        <f t="shared" si="4"/>
        <v>#REF!</v>
      </c>
      <c r="AE10" s="180" t="e">
        <f t="shared" si="5"/>
        <v>#REF!</v>
      </c>
      <c r="AF10" s="150">
        <f t="shared" si="6"/>
        <v>81.2</v>
      </c>
      <c r="AI10" s="138">
        <v>44743</v>
      </c>
      <c r="AJ10" s="139">
        <f t="shared" si="25"/>
        <v>7</v>
      </c>
      <c r="AK10" s="151">
        <v>1516</v>
      </c>
      <c r="AL10" s="141">
        <f t="shared" si="41"/>
        <v>1500</v>
      </c>
      <c r="AM10" s="142">
        <f t="shared" si="7"/>
        <v>4077.0518052045272</v>
      </c>
      <c r="AN10" s="143">
        <f t="shared" si="8"/>
        <v>3331.4284761969575</v>
      </c>
      <c r="AO10" s="143">
        <f t="shared" si="9"/>
        <v>1840.1818181818182</v>
      </c>
      <c r="AP10" s="143">
        <f t="shared" si="10"/>
        <v>348.93516016667877</v>
      </c>
      <c r="AQ10" s="144">
        <f t="shared" si="11"/>
        <v>0</v>
      </c>
      <c r="AR10" s="145">
        <v>7</v>
      </c>
      <c r="AS10" s="143">
        <f t="shared" si="36"/>
        <v>1382.9090909090905</v>
      </c>
      <c r="AT10" s="141" t="e">
        <f t="shared" si="26"/>
        <v>#N/A</v>
      </c>
      <c r="AU10" s="144">
        <f t="shared" si="27"/>
        <v>1382.9090909090905</v>
      </c>
      <c r="AV10" s="187">
        <f t="shared" si="28"/>
        <v>1.2138402494603022</v>
      </c>
      <c r="AW10" s="184">
        <f t="shared" si="29"/>
        <v>1.2138402494603022</v>
      </c>
      <c r="AX10" s="293">
        <f t="shared" si="37"/>
        <v>33.68888888888889</v>
      </c>
      <c r="AY10" s="290">
        <f t="shared" si="38"/>
        <v>36.371043771043773</v>
      </c>
      <c r="AZ10" s="291">
        <f t="shared" si="39"/>
        <v>45</v>
      </c>
      <c r="BA10" s="146"/>
      <c r="BC10" s="138">
        <v>44743</v>
      </c>
      <c r="BD10" s="139">
        <f t="shared" si="30"/>
        <v>7</v>
      </c>
      <c r="BE10" s="151">
        <v>497</v>
      </c>
      <c r="BF10" s="141">
        <v>2500</v>
      </c>
      <c r="BG10" s="142">
        <f t="shared" si="12"/>
        <v>662.93194478119517</v>
      </c>
      <c r="BH10" s="143">
        <f t="shared" si="13"/>
        <v>614.65159955109982</v>
      </c>
      <c r="BI10" s="143">
        <f t="shared" si="14"/>
        <v>518.09090909090912</v>
      </c>
      <c r="BJ10" s="143">
        <f t="shared" si="15"/>
        <v>421.53021863071842</v>
      </c>
      <c r="BK10" s="144">
        <f t="shared" si="16"/>
        <v>373.24987340062307</v>
      </c>
      <c r="BL10" s="145">
        <v>7</v>
      </c>
      <c r="BM10" s="143">
        <f t="shared" si="40"/>
        <v>475.36363636363615</v>
      </c>
      <c r="BN10" s="141" t="e">
        <f t="shared" si="31"/>
        <v>#N/A</v>
      </c>
      <c r="BO10" s="144">
        <f t="shared" si="32"/>
        <v>475.36363636363615</v>
      </c>
      <c r="BP10" s="187">
        <f t="shared" si="33"/>
        <v>1.042436436802634</v>
      </c>
      <c r="BQ10" s="184">
        <f t="shared" si="34"/>
        <v>1.042436436802634</v>
      </c>
      <c r="BR10" s="192"/>
      <c r="BS10" s="192"/>
    </row>
    <row r="11" spans="1:71">
      <c r="A11" s="443"/>
      <c r="B11" s="46" t="s">
        <v>27</v>
      </c>
      <c r="C11" s="108">
        <f>+C10/$C$14</f>
        <v>5.7803666827846219E-2</v>
      </c>
      <c r="M11" s="138">
        <v>44774</v>
      </c>
      <c r="N11" s="139">
        <f t="shared" si="17"/>
        <v>8</v>
      </c>
      <c r="O11" s="151">
        <v>274000</v>
      </c>
      <c r="P11" s="141">
        <v>2500</v>
      </c>
      <c r="Q11" s="142">
        <f t="shared" si="0"/>
        <v>315156.13704802882</v>
      </c>
      <c r="R11" s="143">
        <f t="shared" si="1"/>
        <v>302187.42469868588</v>
      </c>
      <c r="S11" s="143">
        <f t="shared" si="18"/>
        <v>276250</v>
      </c>
      <c r="T11" s="143">
        <f t="shared" si="2"/>
        <v>250312.57530131412</v>
      </c>
      <c r="U11" s="144">
        <f t="shared" si="3"/>
        <v>237343.86295197118</v>
      </c>
      <c r="V11" s="145">
        <v>8</v>
      </c>
      <c r="W11" s="145">
        <f t="shared" si="35"/>
        <v>-6000</v>
      </c>
      <c r="X11" s="141" t="e">
        <f t="shared" si="19"/>
        <v>#N/A</v>
      </c>
      <c r="Y11" s="139">
        <f t="shared" si="20"/>
        <v>-6000</v>
      </c>
      <c r="Z11" s="146">
        <f t="shared" si="21"/>
        <v>1.0082116788321167</v>
      </c>
      <c r="AA11" s="146">
        <f t="shared" si="22"/>
        <v>1.0082116788321167</v>
      </c>
      <c r="AB11" s="147">
        <f t="shared" si="23"/>
        <v>34.524000000000001</v>
      </c>
      <c r="AC11" s="148">
        <f t="shared" si="24"/>
        <v>34.807499999999997</v>
      </c>
      <c r="AD11" s="149" t="e">
        <f t="shared" si="4"/>
        <v>#REF!</v>
      </c>
      <c r="AE11" s="180" t="e">
        <f t="shared" si="5"/>
        <v>#REF!</v>
      </c>
      <c r="AF11" s="150">
        <f t="shared" si="6"/>
        <v>81.2</v>
      </c>
      <c r="AI11" s="138">
        <v>44774</v>
      </c>
      <c r="AJ11" s="139">
        <f t="shared" si="25"/>
        <v>8</v>
      </c>
      <c r="AK11" s="151">
        <v>1429</v>
      </c>
      <c r="AL11" s="141">
        <f t="shared" si="41"/>
        <v>1500</v>
      </c>
      <c r="AM11" s="142">
        <f t="shared" si="7"/>
        <v>4077.0518052045272</v>
      </c>
      <c r="AN11" s="143">
        <f t="shared" si="8"/>
        <v>3331.4284761969575</v>
      </c>
      <c r="AO11" s="143">
        <f t="shared" si="9"/>
        <v>1840.1818181818182</v>
      </c>
      <c r="AP11" s="143">
        <f t="shared" si="10"/>
        <v>348.93516016667877</v>
      </c>
      <c r="AQ11" s="144">
        <f t="shared" si="11"/>
        <v>0</v>
      </c>
      <c r="AR11" s="145">
        <v>8</v>
      </c>
      <c r="AS11" s="143">
        <f t="shared" si="36"/>
        <v>971.72727272727229</v>
      </c>
      <c r="AT11" s="141" t="e">
        <f t="shared" si="26"/>
        <v>#N/A</v>
      </c>
      <c r="AU11" s="144">
        <f t="shared" si="27"/>
        <v>971.72727272727229</v>
      </c>
      <c r="AV11" s="187">
        <f t="shared" si="28"/>
        <v>1.2877409504421402</v>
      </c>
      <c r="AW11" s="184">
        <f t="shared" si="29"/>
        <v>1.2877409504421402</v>
      </c>
      <c r="AX11" s="293">
        <f t="shared" si="37"/>
        <v>31.755555555555556</v>
      </c>
      <c r="AY11" s="290">
        <f t="shared" si="38"/>
        <v>36.371043771043773</v>
      </c>
      <c r="AZ11" s="291">
        <f t="shared" si="39"/>
        <v>45</v>
      </c>
      <c r="BA11" s="146"/>
      <c r="BC11" s="138">
        <v>44774</v>
      </c>
      <c r="BD11" s="139">
        <f t="shared" si="30"/>
        <v>8</v>
      </c>
      <c r="BE11" s="151">
        <v>467</v>
      </c>
      <c r="BF11" s="141">
        <v>2500</v>
      </c>
      <c r="BG11" s="142">
        <f t="shared" si="12"/>
        <v>662.93194478119517</v>
      </c>
      <c r="BH11" s="143">
        <f t="shared" si="13"/>
        <v>614.65159955109982</v>
      </c>
      <c r="BI11" s="143">
        <f t="shared" si="14"/>
        <v>518.09090909090912</v>
      </c>
      <c r="BJ11" s="143">
        <f t="shared" si="15"/>
        <v>421.53021863071842</v>
      </c>
      <c r="BK11" s="144">
        <f t="shared" si="16"/>
        <v>373.24987340062307</v>
      </c>
      <c r="BL11" s="145">
        <v>8</v>
      </c>
      <c r="BM11" s="143">
        <f t="shared" si="40"/>
        <v>424.27272727272702</v>
      </c>
      <c r="BN11" s="141" t="e">
        <f t="shared" si="31"/>
        <v>#N/A</v>
      </c>
      <c r="BO11" s="144">
        <f t="shared" si="32"/>
        <v>424.27272727272702</v>
      </c>
      <c r="BP11" s="187">
        <f t="shared" si="33"/>
        <v>1.1094023749270003</v>
      </c>
      <c r="BQ11" s="184">
        <f t="shared" si="34"/>
        <v>1.1094023749270003</v>
      </c>
      <c r="BR11" s="192"/>
      <c r="BS11" s="192"/>
    </row>
    <row r="12" spans="1:71">
      <c r="A12" s="443"/>
      <c r="B12" s="46" t="s">
        <v>13</v>
      </c>
      <c r="C12" s="61">
        <f>+Precios_tarifas!C18</f>
        <v>1618.5833333333333</v>
      </c>
      <c r="M12" s="138">
        <v>44805</v>
      </c>
      <c r="N12" s="139">
        <f t="shared" si="17"/>
        <v>9</v>
      </c>
      <c r="O12" s="151">
        <v>288000</v>
      </c>
      <c r="P12" s="141">
        <v>2500</v>
      </c>
      <c r="Q12" s="142">
        <f t="shared" si="0"/>
        <v>315156.13704802882</v>
      </c>
      <c r="R12" s="143">
        <f t="shared" si="1"/>
        <v>302187.42469868588</v>
      </c>
      <c r="S12" s="143">
        <f t="shared" si="18"/>
        <v>276250</v>
      </c>
      <c r="T12" s="143">
        <f t="shared" si="2"/>
        <v>250312.57530131412</v>
      </c>
      <c r="U12" s="144">
        <f t="shared" si="3"/>
        <v>237343.86295197118</v>
      </c>
      <c r="V12" s="145">
        <v>9</v>
      </c>
      <c r="W12" s="145">
        <f t="shared" si="35"/>
        <v>5750</v>
      </c>
      <c r="X12" s="141">
        <f t="shared" si="19"/>
        <v>5750</v>
      </c>
      <c r="Y12" s="139" t="e">
        <f t="shared" si="20"/>
        <v>#N/A</v>
      </c>
      <c r="Z12" s="146">
        <f t="shared" si="21"/>
        <v>0.95920138888888884</v>
      </c>
      <c r="AA12" s="146" t="e">
        <f t="shared" si="22"/>
        <v>#N/A</v>
      </c>
      <c r="AB12" s="147">
        <f t="shared" si="23"/>
        <v>36.287999999999997</v>
      </c>
      <c r="AC12" s="148">
        <f t="shared" si="24"/>
        <v>34.807499999999997</v>
      </c>
      <c r="AD12" s="149" t="e">
        <f t="shared" si="4"/>
        <v>#REF!</v>
      </c>
      <c r="AE12" s="180" t="e">
        <f t="shared" si="5"/>
        <v>#REF!</v>
      </c>
      <c r="AF12" s="150">
        <f t="shared" si="6"/>
        <v>81.2</v>
      </c>
      <c r="AI12" s="138">
        <v>44805</v>
      </c>
      <c r="AJ12" s="139">
        <f t="shared" si="25"/>
        <v>9</v>
      </c>
      <c r="AK12" s="151">
        <v>1617</v>
      </c>
      <c r="AL12" s="141">
        <f t="shared" si="41"/>
        <v>1500</v>
      </c>
      <c r="AM12" s="142">
        <f t="shared" si="7"/>
        <v>4077.0518052045272</v>
      </c>
      <c r="AN12" s="143">
        <f t="shared" si="8"/>
        <v>3331.4284761969575</v>
      </c>
      <c r="AO12" s="143">
        <f t="shared" si="9"/>
        <v>1840.1818181818182</v>
      </c>
      <c r="AP12" s="143">
        <f t="shared" si="10"/>
        <v>348.93516016667877</v>
      </c>
      <c r="AQ12" s="144">
        <f t="shared" si="11"/>
        <v>0</v>
      </c>
      <c r="AR12" s="145">
        <v>9</v>
      </c>
      <c r="AS12" s="143">
        <f t="shared" si="36"/>
        <v>748.54545454545405</v>
      </c>
      <c r="AT12" s="141" t="e">
        <f t="shared" si="26"/>
        <v>#N/A</v>
      </c>
      <c r="AU12" s="144">
        <f t="shared" si="27"/>
        <v>748.54545454545405</v>
      </c>
      <c r="AV12" s="187">
        <f t="shared" si="28"/>
        <v>1.1380221510091639</v>
      </c>
      <c r="AW12" s="184">
        <f t="shared" si="29"/>
        <v>1.1380221510091639</v>
      </c>
      <c r="AX12" s="293">
        <f t="shared" si="37"/>
        <v>35.93333333333333</v>
      </c>
      <c r="AY12" s="290">
        <f t="shared" si="38"/>
        <v>36.371043771043773</v>
      </c>
      <c r="AZ12" s="291">
        <f t="shared" si="39"/>
        <v>45</v>
      </c>
      <c r="BA12" s="146"/>
      <c r="BC12" s="138">
        <v>44805</v>
      </c>
      <c r="BD12" s="139">
        <f t="shared" si="30"/>
        <v>9</v>
      </c>
      <c r="BE12" s="151">
        <v>526</v>
      </c>
      <c r="BF12" s="141">
        <v>2500</v>
      </c>
      <c r="BG12" s="142">
        <f t="shared" si="12"/>
        <v>662.93194478119517</v>
      </c>
      <c r="BH12" s="143">
        <f t="shared" si="13"/>
        <v>614.65159955109982</v>
      </c>
      <c r="BI12" s="143">
        <f t="shared" si="14"/>
        <v>518.09090909090912</v>
      </c>
      <c r="BJ12" s="143">
        <f t="shared" si="15"/>
        <v>421.53021863071842</v>
      </c>
      <c r="BK12" s="144">
        <f t="shared" si="16"/>
        <v>373.24987340062307</v>
      </c>
      <c r="BL12" s="145">
        <v>9</v>
      </c>
      <c r="BM12" s="143">
        <f t="shared" si="40"/>
        <v>432.1818181818179</v>
      </c>
      <c r="BN12" s="141">
        <f t="shared" si="31"/>
        <v>432.1818181818179</v>
      </c>
      <c r="BO12" s="144" t="e">
        <f t="shared" si="32"/>
        <v>#N/A</v>
      </c>
      <c r="BP12" s="187">
        <f t="shared" si="33"/>
        <v>0.98496370549602497</v>
      </c>
      <c r="BQ12" s="184" t="e">
        <f t="shared" si="34"/>
        <v>#N/A</v>
      </c>
      <c r="BR12" s="192"/>
      <c r="BS12" s="192"/>
    </row>
    <row r="13" spans="1:71" ht="21">
      <c r="A13" s="444"/>
      <c r="B13" s="46" t="str">
        <f>+'Consumo de agua'!N1</f>
        <v xml:space="preserve"> COP /m3</v>
      </c>
      <c r="C13" s="274">
        <f>+Precios_tarifas!C11</f>
        <v>6238.0704732592994</v>
      </c>
      <c r="M13" s="138">
        <v>44835</v>
      </c>
      <c r="N13" s="139">
        <f t="shared" si="17"/>
        <v>10</v>
      </c>
      <c r="O13" s="151">
        <v>250000</v>
      </c>
      <c r="P13" s="141">
        <v>2500</v>
      </c>
      <c r="Q13" s="142">
        <f t="shared" si="0"/>
        <v>315156.13704802882</v>
      </c>
      <c r="R13" s="143">
        <f t="shared" si="1"/>
        <v>302187.42469868588</v>
      </c>
      <c r="S13" s="143">
        <f t="shared" si="18"/>
        <v>276250</v>
      </c>
      <c r="T13" s="143">
        <f t="shared" si="2"/>
        <v>250312.57530131412</v>
      </c>
      <c r="U13" s="144">
        <f t="shared" si="3"/>
        <v>237343.86295197118</v>
      </c>
      <c r="V13" s="145">
        <v>10</v>
      </c>
      <c r="W13" s="145">
        <f t="shared" si="35"/>
        <v>-20500</v>
      </c>
      <c r="X13" s="141" t="e">
        <f t="shared" si="19"/>
        <v>#N/A</v>
      </c>
      <c r="Y13" s="139">
        <f t="shared" si="20"/>
        <v>-20500</v>
      </c>
      <c r="Z13" s="146">
        <f t="shared" si="21"/>
        <v>1.105</v>
      </c>
      <c r="AA13" s="146">
        <f t="shared" si="22"/>
        <v>1.105</v>
      </c>
      <c r="AB13" s="147">
        <f t="shared" si="23"/>
        <v>31.5</v>
      </c>
      <c r="AC13" s="148">
        <f t="shared" si="24"/>
        <v>34.807499999999997</v>
      </c>
      <c r="AD13" s="149" t="e">
        <f t="shared" si="4"/>
        <v>#REF!</v>
      </c>
      <c r="AE13" s="180" t="e">
        <f t="shared" si="5"/>
        <v>#REF!</v>
      </c>
      <c r="AF13" s="150">
        <f t="shared" si="6"/>
        <v>81.2</v>
      </c>
      <c r="AI13" s="138">
        <v>44835</v>
      </c>
      <c r="AJ13" s="139">
        <f t="shared" si="25"/>
        <v>10</v>
      </c>
      <c r="AK13" s="151">
        <v>1633</v>
      </c>
      <c r="AL13" s="141">
        <f t="shared" si="41"/>
        <v>1500</v>
      </c>
      <c r="AM13" s="142">
        <f t="shared" si="7"/>
        <v>4077.0518052045272</v>
      </c>
      <c r="AN13" s="143">
        <f t="shared" si="8"/>
        <v>3331.4284761969575</v>
      </c>
      <c r="AO13" s="143">
        <f t="shared" si="9"/>
        <v>1840.1818181818182</v>
      </c>
      <c r="AP13" s="143">
        <f t="shared" si="10"/>
        <v>348.93516016667877</v>
      </c>
      <c r="AQ13" s="144">
        <f t="shared" si="11"/>
        <v>0</v>
      </c>
      <c r="AR13" s="145">
        <v>10</v>
      </c>
      <c r="AS13" s="143">
        <f t="shared" si="36"/>
        <v>541.36363636363581</v>
      </c>
      <c r="AT13" s="141" t="e">
        <f t="shared" si="26"/>
        <v>#N/A</v>
      </c>
      <c r="AU13" s="144">
        <f t="shared" si="27"/>
        <v>541.36363636363581</v>
      </c>
      <c r="AV13" s="187">
        <f t="shared" si="28"/>
        <v>1.1268719033569004</v>
      </c>
      <c r="AW13" s="184">
        <f t="shared" si="29"/>
        <v>1.1268719033569004</v>
      </c>
      <c r="AX13" s="293">
        <f t="shared" si="37"/>
        <v>36.288888888888891</v>
      </c>
      <c r="AY13" s="290">
        <f t="shared" si="38"/>
        <v>36.371043771043773</v>
      </c>
      <c r="AZ13" s="291">
        <f t="shared" si="39"/>
        <v>45</v>
      </c>
      <c r="BA13" s="146"/>
      <c r="BC13" s="138">
        <v>44835</v>
      </c>
      <c r="BD13" s="139">
        <f t="shared" si="30"/>
        <v>10</v>
      </c>
      <c r="BE13" s="151">
        <v>583</v>
      </c>
      <c r="BF13" s="141">
        <v>2500</v>
      </c>
      <c r="BG13" s="142">
        <f t="shared" si="12"/>
        <v>662.93194478119517</v>
      </c>
      <c r="BH13" s="143">
        <f t="shared" si="13"/>
        <v>614.65159955109982</v>
      </c>
      <c r="BI13" s="143">
        <f t="shared" si="14"/>
        <v>518.09090909090912</v>
      </c>
      <c r="BJ13" s="143">
        <f t="shared" si="15"/>
        <v>421.53021863071842</v>
      </c>
      <c r="BK13" s="144">
        <f t="shared" si="16"/>
        <v>373.24987340062307</v>
      </c>
      <c r="BL13" s="145">
        <v>10</v>
      </c>
      <c r="BM13" s="143">
        <f t="shared" si="40"/>
        <v>497.09090909090878</v>
      </c>
      <c r="BN13" s="141">
        <f t="shared" si="31"/>
        <v>497.09090909090878</v>
      </c>
      <c r="BO13" s="144" t="e">
        <f t="shared" si="32"/>
        <v>#N/A</v>
      </c>
      <c r="BP13" s="187">
        <f t="shared" si="33"/>
        <v>0.88866365195696251</v>
      </c>
      <c r="BQ13" s="184" t="e">
        <f t="shared" si="34"/>
        <v>#N/A</v>
      </c>
      <c r="BR13" s="192"/>
      <c r="BS13" s="192"/>
    </row>
    <row r="14" spans="1:71">
      <c r="A14" s="100" t="s">
        <v>96</v>
      </c>
      <c r="B14" s="167" t="s">
        <v>20</v>
      </c>
      <c r="C14" s="273">
        <f>+C2+C6+C10</f>
        <v>174674678.16959065</v>
      </c>
      <c r="M14" s="138">
        <v>44866</v>
      </c>
      <c r="N14" s="139">
        <f t="shared" si="17"/>
        <v>11</v>
      </c>
      <c r="O14" s="151">
        <v>275000</v>
      </c>
      <c r="P14" s="141">
        <v>2500</v>
      </c>
      <c r="Q14" s="142">
        <f t="shared" si="0"/>
        <v>315156.13704802882</v>
      </c>
      <c r="R14" s="143">
        <f t="shared" si="1"/>
        <v>302187.42469868588</v>
      </c>
      <c r="S14" s="143">
        <f t="shared" si="18"/>
        <v>276250</v>
      </c>
      <c r="T14" s="143">
        <f t="shared" si="2"/>
        <v>250312.57530131412</v>
      </c>
      <c r="U14" s="144">
        <f t="shared" si="3"/>
        <v>237343.86295197118</v>
      </c>
      <c r="V14" s="145">
        <v>11</v>
      </c>
      <c r="W14" s="145">
        <f t="shared" si="35"/>
        <v>-21750</v>
      </c>
      <c r="X14" s="141" t="e">
        <f t="shared" si="19"/>
        <v>#N/A</v>
      </c>
      <c r="Y14" s="139">
        <f t="shared" si="20"/>
        <v>-21750</v>
      </c>
      <c r="Z14" s="146">
        <f t="shared" si="21"/>
        <v>1.0045454545454546</v>
      </c>
      <c r="AA14" s="146">
        <f t="shared" si="22"/>
        <v>1.0045454545454546</v>
      </c>
      <c r="AB14" s="147">
        <f t="shared" si="23"/>
        <v>34.65</v>
      </c>
      <c r="AC14" s="148">
        <f t="shared" si="24"/>
        <v>34.807499999999997</v>
      </c>
      <c r="AD14" s="149" t="e">
        <f t="shared" si="4"/>
        <v>#REF!</v>
      </c>
      <c r="AE14" s="180" t="e">
        <f t="shared" si="5"/>
        <v>#REF!</v>
      </c>
      <c r="AF14" s="150">
        <f t="shared" si="6"/>
        <v>81.2</v>
      </c>
      <c r="AI14" s="138">
        <v>44866</v>
      </c>
      <c r="AJ14" s="139">
        <f t="shared" si="25"/>
        <v>11</v>
      </c>
      <c r="AK14" s="151">
        <v>1594</v>
      </c>
      <c r="AL14" s="141">
        <f t="shared" si="41"/>
        <v>1500</v>
      </c>
      <c r="AM14" s="142">
        <f t="shared" si="7"/>
        <v>4077.0518052045272</v>
      </c>
      <c r="AN14" s="143">
        <f t="shared" si="8"/>
        <v>3331.4284761969575</v>
      </c>
      <c r="AO14" s="143">
        <f t="shared" si="9"/>
        <v>1840.1818181818182</v>
      </c>
      <c r="AP14" s="143">
        <f t="shared" si="10"/>
        <v>348.93516016667877</v>
      </c>
      <c r="AQ14" s="144">
        <f t="shared" si="11"/>
        <v>0</v>
      </c>
      <c r="AR14" s="145">
        <v>11</v>
      </c>
      <c r="AS14" s="143">
        <f t="shared" si="36"/>
        <v>295.18181818181756</v>
      </c>
      <c r="AT14" s="141" t="e">
        <f t="shared" si="26"/>
        <v>#N/A</v>
      </c>
      <c r="AU14" s="144">
        <f t="shared" si="27"/>
        <v>295.18181818181756</v>
      </c>
      <c r="AV14" s="187">
        <f t="shared" si="28"/>
        <v>1.1544427968518307</v>
      </c>
      <c r="AW14" s="184">
        <f t="shared" si="29"/>
        <v>1.1544427968518307</v>
      </c>
      <c r="AX14" s="293">
        <f t="shared" si="37"/>
        <v>35.422222222222224</v>
      </c>
      <c r="AY14" s="290">
        <f t="shared" si="38"/>
        <v>36.371043771043773</v>
      </c>
      <c r="AZ14" s="291">
        <f t="shared" si="39"/>
        <v>45</v>
      </c>
      <c r="BA14" s="146"/>
      <c r="BC14" s="138">
        <v>44866</v>
      </c>
      <c r="BD14" s="139">
        <f t="shared" si="30"/>
        <v>11</v>
      </c>
      <c r="BE14" s="151">
        <v>479</v>
      </c>
      <c r="BF14" s="141">
        <v>2500</v>
      </c>
      <c r="BG14" s="142">
        <f t="shared" si="12"/>
        <v>662.93194478119517</v>
      </c>
      <c r="BH14" s="143">
        <f t="shared" si="13"/>
        <v>614.65159955109982</v>
      </c>
      <c r="BI14" s="143">
        <f t="shared" si="14"/>
        <v>518.09090909090912</v>
      </c>
      <c r="BJ14" s="143">
        <f t="shared" si="15"/>
        <v>421.53021863071842</v>
      </c>
      <c r="BK14" s="144">
        <f t="shared" si="16"/>
        <v>373.24987340062307</v>
      </c>
      <c r="BL14" s="145">
        <v>11</v>
      </c>
      <c r="BM14" s="143">
        <f t="shared" si="40"/>
        <v>457.99999999999966</v>
      </c>
      <c r="BN14" s="141" t="e">
        <f t="shared" si="31"/>
        <v>#N/A</v>
      </c>
      <c r="BO14" s="144">
        <f t="shared" si="32"/>
        <v>457.99999999999966</v>
      </c>
      <c r="BP14" s="187">
        <f t="shared" si="33"/>
        <v>1.0816094135509584</v>
      </c>
      <c r="BQ14" s="184">
        <f t="shared" si="34"/>
        <v>1.0816094135509584</v>
      </c>
      <c r="BR14" s="192"/>
      <c r="BS14" s="192"/>
    </row>
    <row r="15" spans="1:71">
      <c r="A15" s="168"/>
      <c r="B15" s="81"/>
      <c r="C15" s="298">
        <f>C14*12</f>
        <v>2096096138.0350878</v>
      </c>
      <c r="D15" s="299" t="e">
        <f>C8*12/C19</f>
        <v>#REF!</v>
      </c>
      <c r="M15" s="138">
        <v>44896</v>
      </c>
      <c r="N15" s="139">
        <f t="shared" si="17"/>
        <v>12</v>
      </c>
      <c r="O15" s="151">
        <v>298000</v>
      </c>
      <c r="P15" s="141">
        <v>2500</v>
      </c>
      <c r="Q15" s="142">
        <f t="shared" si="0"/>
        <v>315156.13704802882</v>
      </c>
      <c r="R15" s="143">
        <f t="shared" si="1"/>
        <v>302187.42469868588</v>
      </c>
      <c r="S15" s="143">
        <f t="shared" si="18"/>
        <v>276250</v>
      </c>
      <c r="T15" s="143">
        <f t="shared" si="2"/>
        <v>250312.57530131412</v>
      </c>
      <c r="U15" s="144">
        <f t="shared" si="3"/>
        <v>237343.86295197118</v>
      </c>
      <c r="V15" s="145">
        <v>12</v>
      </c>
      <c r="W15" s="145">
        <f t="shared" si="35"/>
        <v>0</v>
      </c>
      <c r="X15" s="141">
        <f t="shared" si="19"/>
        <v>0</v>
      </c>
      <c r="Y15" s="139" t="e">
        <f t="shared" si="20"/>
        <v>#N/A</v>
      </c>
      <c r="Z15" s="146">
        <f t="shared" si="21"/>
        <v>0.92701342281879195</v>
      </c>
      <c r="AA15" s="146" t="e">
        <f t="shared" si="22"/>
        <v>#N/A</v>
      </c>
      <c r="AB15" s="147">
        <f t="shared" si="23"/>
        <v>37.548000000000002</v>
      </c>
      <c r="AC15" s="148">
        <f t="shared" si="24"/>
        <v>34.807499999999997</v>
      </c>
      <c r="AD15" s="149" t="e">
        <f t="shared" si="4"/>
        <v>#REF!</v>
      </c>
      <c r="AE15" s="180" t="e">
        <f t="shared" si="5"/>
        <v>#REF!</v>
      </c>
      <c r="AF15" s="150">
        <f t="shared" si="6"/>
        <v>81.2</v>
      </c>
      <c r="AI15" s="138">
        <v>44896</v>
      </c>
      <c r="AJ15" s="139">
        <f t="shared" si="25"/>
        <v>12</v>
      </c>
      <c r="AK15" s="151">
        <v>1545</v>
      </c>
      <c r="AL15" s="141">
        <f t="shared" si="41"/>
        <v>1500</v>
      </c>
      <c r="AM15" s="142">
        <f t="shared" si="7"/>
        <v>4077.0518052045272</v>
      </c>
      <c r="AN15" s="143">
        <f t="shared" si="8"/>
        <v>3331.4284761969575</v>
      </c>
      <c r="AO15" s="143">
        <f t="shared" si="9"/>
        <v>1840.1818181818182</v>
      </c>
      <c r="AP15" s="143">
        <f t="shared" si="10"/>
        <v>348.93516016667877</v>
      </c>
      <c r="AQ15" s="144">
        <f t="shared" si="11"/>
        <v>0</v>
      </c>
      <c r="AR15" s="145">
        <v>12</v>
      </c>
      <c r="AS15" s="143">
        <f t="shared" si="36"/>
        <v>-6.8212102632969618E-13</v>
      </c>
      <c r="AT15" s="141" t="e">
        <f t="shared" si="26"/>
        <v>#N/A</v>
      </c>
      <c r="AU15" s="144">
        <f t="shared" si="27"/>
        <v>-6.8212102632969618E-13</v>
      </c>
      <c r="AV15" s="187">
        <f t="shared" si="28"/>
        <v>1.1910561929979406</v>
      </c>
      <c r="AW15" s="184">
        <f t="shared" si="29"/>
        <v>1.1910561929979406</v>
      </c>
      <c r="AX15" s="293">
        <f t="shared" si="37"/>
        <v>34.333333333333336</v>
      </c>
      <c r="AY15" s="290">
        <f t="shared" si="38"/>
        <v>36.371043771043773</v>
      </c>
      <c r="AZ15" s="291">
        <f t="shared" si="39"/>
        <v>45</v>
      </c>
      <c r="BA15" s="146"/>
      <c r="BC15" s="138">
        <v>44896</v>
      </c>
      <c r="BD15" s="139">
        <f t="shared" si="30"/>
        <v>12</v>
      </c>
      <c r="BE15" s="151">
        <v>444</v>
      </c>
      <c r="BF15" s="141">
        <v>2500</v>
      </c>
      <c r="BG15" s="142">
        <f t="shared" si="12"/>
        <v>662.93194478119517</v>
      </c>
      <c r="BH15" s="143">
        <f t="shared" si="13"/>
        <v>614.65159955109982</v>
      </c>
      <c r="BI15" s="143">
        <f t="shared" si="14"/>
        <v>518.09090909090912</v>
      </c>
      <c r="BJ15" s="143">
        <f t="shared" si="15"/>
        <v>421.53021863071842</v>
      </c>
      <c r="BK15" s="144">
        <f t="shared" si="16"/>
        <v>373.24987340062307</v>
      </c>
      <c r="BL15" s="145">
        <v>12</v>
      </c>
      <c r="BM15" s="143">
        <f t="shared" si="40"/>
        <v>383.90909090909054</v>
      </c>
      <c r="BN15" s="141" t="e">
        <f t="shared" si="31"/>
        <v>#N/A</v>
      </c>
      <c r="BO15" s="144">
        <f t="shared" si="32"/>
        <v>383.90909090909054</v>
      </c>
      <c r="BP15" s="187">
        <f t="shared" si="33"/>
        <v>1.1668714168714169</v>
      </c>
      <c r="BQ15" s="184">
        <f t="shared" si="34"/>
        <v>1.1668714168714169</v>
      </c>
      <c r="BR15" s="192"/>
      <c r="BS15" s="192"/>
    </row>
    <row r="16" spans="1:71">
      <c r="A16" s="168"/>
      <c r="B16" s="81"/>
      <c r="C16" s="169" t="e">
        <f>+C15/C19</f>
        <v>#REF!</v>
      </c>
      <c r="M16" s="138">
        <v>44927</v>
      </c>
      <c r="N16" s="139">
        <f t="shared" si="17"/>
        <v>1</v>
      </c>
      <c r="O16" s="140">
        <v>276000</v>
      </c>
      <c r="P16" s="141">
        <v>2500</v>
      </c>
      <c r="Q16" s="142">
        <f t="shared" si="0"/>
        <v>315156.13704802882</v>
      </c>
      <c r="R16" s="143">
        <f t="shared" si="1"/>
        <v>302187.42469868588</v>
      </c>
      <c r="S16" s="143">
        <f t="shared" si="18"/>
        <v>276250</v>
      </c>
      <c r="T16" s="143">
        <f t="shared" si="2"/>
        <v>250312.57530131412</v>
      </c>
      <c r="U16" s="144">
        <f t="shared" si="3"/>
        <v>237343.86295197118</v>
      </c>
      <c r="V16" s="145">
        <v>13</v>
      </c>
      <c r="W16" s="145">
        <f t="shared" si="35"/>
        <v>-250</v>
      </c>
      <c r="X16" s="141" t="e">
        <f t="shared" si="19"/>
        <v>#N/A</v>
      </c>
      <c r="Y16" s="139">
        <f t="shared" si="20"/>
        <v>-250</v>
      </c>
      <c r="Z16" s="146">
        <f t="shared" si="21"/>
        <v>1.0009057971014492</v>
      </c>
      <c r="AA16" s="146">
        <f t="shared" si="22"/>
        <v>1.0009057971014492</v>
      </c>
      <c r="AB16" s="147">
        <f t="shared" si="23"/>
        <v>34.776000000000003</v>
      </c>
      <c r="AC16" s="148">
        <f t="shared" si="24"/>
        <v>34.807499999999997</v>
      </c>
      <c r="AD16" s="149" t="e">
        <f t="shared" si="4"/>
        <v>#REF!</v>
      </c>
      <c r="AE16" s="180" t="e">
        <f t="shared" si="5"/>
        <v>#REF!</v>
      </c>
      <c r="AF16" s="150">
        <f t="shared" si="6"/>
        <v>81.2</v>
      </c>
      <c r="AI16" s="138">
        <v>44927</v>
      </c>
      <c r="AJ16" s="139">
        <f t="shared" si="25"/>
        <v>1</v>
      </c>
      <c r="AK16" s="140">
        <v>1545</v>
      </c>
      <c r="AL16" s="141">
        <f t="shared" si="41"/>
        <v>1500</v>
      </c>
      <c r="AM16" s="142">
        <f t="shared" si="7"/>
        <v>4077.0518052045272</v>
      </c>
      <c r="AN16" s="143">
        <f t="shared" si="8"/>
        <v>3331.4284761969575</v>
      </c>
      <c r="AO16" s="143">
        <f t="shared" si="9"/>
        <v>1840.1818181818182</v>
      </c>
      <c r="AP16" s="143">
        <f t="shared" si="10"/>
        <v>348.93516016667877</v>
      </c>
      <c r="AQ16" s="144">
        <f t="shared" si="11"/>
        <v>0</v>
      </c>
      <c r="AR16" s="145">
        <v>13</v>
      </c>
      <c r="AS16" s="143">
        <f t="shared" si="36"/>
        <v>-295.18181818181893</v>
      </c>
      <c r="AT16" s="141" t="e">
        <f t="shared" si="26"/>
        <v>#N/A</v>
      </c>
      <c r="AU16" s="144">
        <f t="shared" si="27"/>
        <v>-295.18181818181893</v>
      </c>
      <c r="AV16" s="187">
        <f t="shared" si="28"/>
        <v>1.1910561929979406</v>
      </c>
      <c r="AW16" s="184">
        <f t="shared" si="29"/>
        <v>1.1910561929979406</v>
      </c>
      <c r="AX16" s="293">
        <f t="shared" si="37"/>
        <v>34.333333333333336</v>
      </c>
      <c r="AY16" s="290">
        <f t="shared" si="38"/>
        <v>36.371043771043773</v>
      </c>
      <c r="AZ16" s="291">
        <f t="shared" si="39"/>
        <v>45</v>
      </c>
      <c r="BA16" s="146"/>
      <c r="BC16" s="138">
        <v>44927</v>
      </c>
      <c r="BD16" s="139">
        <f t="shared" si="30"/>
        <v>1</v>
      </c>
      <c r="BE16" s="140">
        <v>672</v>
      </c>
      <c r="BF16" s="141">
        <v>2500</v>
      </c>
      <c r="BG16" s="142">
        <f t="shared" si="12"/>
        <v>662.93194478119517</v>
      </c>
      <c r="BH16" s="143">
        <f t="shared" si="13"/>
        <v>614.65159955109982</v>
      </c>
      <c r="BI16" s="143">
        <f t="shared" si="14"/>
        <v>518.09090909090912</v>
      </c>
      <c r="BJ16" s="143">
        <f t="shared" si="15"/>
        <v>421.53021863071842</v>
      </c>
      <c r="BK16" s="144">
        <f t="shared" si="16"/>
        <v>373.24987340062307</v>
      </c>
      <c r="BL16" s="145">
        <v>13</v>
      </c>
      <c r="BM16" s="143">
        <f t="shared" si="40"/>
        <v>537.81818181818142</v>
      </c>
      <c r="BN16" s="141">
        <f t="shared" si="31"/>
        <v>537.81818181818142</v>
      </c>
      <c r="BO16" s="144" t="e">
        <f t="shared" si="32"/>
        <v>#N/A</v>
      </c>
      <c r="BP16" s="187">
        <f t="shared" si="33"/>
        <v>0.77096861471861478</v>
      </c>
      <c r="BQ16" s="184" t="e">
        <f t="shared" si="34"/>
        <v>#N/A</v>
      </c>
      <c r="BR16" s="192"/>
      <c r="BS16" s="192"/>
    </row>
    <row r="17" spans="1:75" s="33" customFormat="1" ht="19.149999999999999" customHeight="1">
      <c r="A17" s="440" t="s">
        <v>152</v>
      </c>
      <c r="B17" s="441"/>
      <c r="C17" s="441"/>
      <c r="M17" s="138">
        <v>44958</v>
      </c>
      <c r="N17" s="139">
        <f t="shared" si="17"/>
        <v>2</v>
      </c>
      <c r="O17" s="140">
        <v>290000</v>
      </c>
      <c r="P17" s="141">
        <v>2500</v>
      </c>
      <c r="Q17" s="142">
        <f t="shared" si="0"/>
        <v>315156.13704802882</v>
      </c>
      <c r="R17" s="143">
        <f t="shared" si="1"/>
        <v>302187.42469868588</v>
      </c>
      <c r="S17" s="143">
        <f t="shared" si="18"/>
        <v>276250</v>
      </c>
      <c r="T17" s="143">
        <f t="shared" si="2"/>
        <v>250312.57530131412</v>
      </c>
      <c r="U17" s="144">
        <f t="shared" si="3"/>
        <v>237343.86295197118</v>
      </c>
      <c r="V17" s="145">
        <v>14</v>
      </c>
      <c r="W17" s="145">
        <f t="shared" si="35"/>
        <v>13500</v>
      </c>
      <c r="X17" s="141">
        <f t="shared" si="19"/>
        <v>13500</v>
      </c>
      <c r="Y17" s="139" t="e">
        <f t="shared" si="20"/>
        <v>#N/A</v>
      </c>
      <c r="Z17" s="146">
        <f t="shared" si="21"/>
        <v>0.95258620689655171</v>
      </c>
      <c r="AA17" s="146" t="e">
        <f t="shared" si="22"/>
        <v>#N/A</v>
      </c>
      <c r="AB17" s="147">
        <f t="shared" si="23"/>
        <v>36.54</v>
      </c>
      <c r="AC17" s="148">
        <f t="shared" si="24"/>
        <v>34.807499999999997</v>
      </c>
      <c r="AD17" s="149" t="e">
        <f t="shared" si="4"/>
        <v>#REF!</v>
      </c>
      <c r="AE17" s="180" t="e">
        <f t="shared" si="5"/>
        <v>#REF!</v>
      </c>
      <c r="AF17" s="150">
        <f t="shared" si="6"/>
        <v>81.2</v>
      </c>
      <c r="AI17" s="138">
        <v>44958</v>
      </c>
      <c r="AJ17" s="139">
        <f t="shared" si="25"/>
        <v>2</v>
      </c>
      <c r="AK17" s="140">
        <v>1545</v>
      </c>
      <c r="AL17" s="141">
        <f t="shared" si="41"/>
        <v>1500</v>
      </c>
      <c r="AM17" s="142">
        <f t="shared" si="7"/>
        <v>4077.0518052045272</v>
      </c>
      <c r="AN17" s="143">
        <f t="shared" si="8"/>
        <v>3331.4284761969575</v>
      </c>
      <c r="AO17" s="143">
        <f t="shared" si="9"/>
        <v>1840.1818181818182</v>
      </c>
      <c r="AP17" s="143">
        <f t="shared" si="10"/>
        <v>348.93516016667877</v>
      </c>
      <c r="AQ17" s="144">
        <f t="shared" si="11"/>
        <v>0</v>
      </c>
      <c r="AR17" s="145">
        <v>14</v>
      </c>
      <c r="AS17" s="143">
        <f t="shared" si="36"/>
        <v>-590.36363636363717</v>
      </c>
      <c r="AT17" s="141" t="e">
        <f t="shared" si="26"/>
        <v>#N/A</v>
      </c>
      <c r="AU17" s="144">
        <f t="shared" si="27"/>
        <v>-590.36363636363717</v>
      </c>
      <c r="AV17" s="187">
        <f t="shared" si="28"/>
        <v>1.1910561929979406</v>
      </c>
      <c r="AW17" s="184">
        <f t="shared" si="29"/>
        <v>1.1910561929979406</v>
      </c>
      <c r="AX17" s="293">
        <f t="shared" si="37"/>
        <v>34.333333333333336</v>
      </c>
      <c r="AY17" s="290">
        <f t="shared" si="38"/>
        <v>36.371043771043773</v>
      </c>
      <c r="AZ17" s="291">
        <f t="shared" si="39"/>
        <v>45</v>
      </c>
      <c r="BA17" s="146"/>
      <c r="BC17" s="138">
        <v>44958</v>
      </c>
      <c r="BD17" s="139">
        <f t="shared" si="30"/>
        <v>2</v>
      </c>
      <c r="BE17" s="140">
        <v>404</v>
      </c>
      <c r="BF17" s="141">
        <v>2500</v>
      </c>
      <c r="BG17" s="142">
        <f t="shared" si="12"/>
        <v>662.93194478119517</v>
      </c>
      <c r="BH17" s="143">
        <f t="shared" si="13"/>
        <v>614.65159955109982</v>
      </c>
      <c r="BI17" s="143">
        <f t="shared" si="14"/>
        <v>518.09090909090912</v>
      </c>
      <c r="BJ17" s="143">
        <f t="shared" si="15"/>
        <v>421.53021863071842</v>
      </c>
      <c r="BK17" s="144">
        <f t="shared" si="16"/>
        <v>373.24987340062307</v>
      </c>
      <c r="BL17" s="145">
        <v>14</v>
      </c>
      <c r="BM17" s="143">
        <f t="shared" si="40"/>
        <v>423.72727272727229</v>
      </c>
      <c r="BN17" s="141" t="e">
        <f t="shared" si="31"/>
        <v>#N/A</v>
      </c>
      <c r="BO17" s="144">
        <f t="shared" si="32"/>
        <v>423.72727272727229</v>
      </c>
      <c r="BP17" s="187">
        <f t="shared" si="33"/>
        <v>1.2824032403240324</v>
      </c>
      <c r="BQ17" s="184">
        <f t="shared" si="34"/>
        <v>1.2824032403240324</v>
      </c>
      <c r="BR17" s="192"/>
      <c r="BS17" s="192"/>
    </row>
    <row r="18" spans="1:75">
      <c r="A18" s="20" t="s">
        <v>0</v>
      </c>
      <c r="B18" s="46" t="s">
        <v>27</v>
      </c>
      <c r="C18" s="62" t="e">
        <f>+#REF!</f>
        <v>#REF!</v>
      </c>
      <c r="M18" s="138">
        <v>44986</v>
      </c>
      <c r="N18" s="139">
        <f t="shared" si="17"/>
        <v>3</v>
      </c>
      <c r="O18" s="151">
        <v>256000</v>
      </c>
      <c r="P18" s="141">
        <v>2500</v>
      </c>
      <c r="Q18" s="142">
        <f t="shared" si="0"/>
        <v>315156.13704802882</v>
      </c>
      <c r="R18" s="143">
        <f t="shared" si="1"/>
        <v>302187.42469868588</v>
      </c>
      <c r="S18" s="143">
        <f t="shared" si="18"/>
        <v>276250</v>
      </c>
      <c r="T18" s="143">
        <f t="shared" si="2"/>
        <v>250312.57530131412</v>
      </c>
      <c r="U18" s="144">
        <f t="shared" si="3"/>
        <v>237343.86295197118</v>
      </c>
      <c r="V18" s="145">
        <v>15</v>
      </c>
      <c r="W18" s="145">
        <f t="shared" si="35"/>
        <v>-6750</v>
      </c>
      <c r="X18" s="141" t="e">
        <f t="shared" si="19"/>
        <v>#N/A</v>
      </c>
      <c r="Y18" s="139">
        <f t="shared" si="20"/>
        <v>-6750</v>
      </c>
      <c r="Z18" s="146">
        <f t="shared" si="21"/>
        <v>1.0791015625</v>
      </c>
      <c r="AA18" s="146">
        <f t="shared" si="22"/>
        <v>1.0791015625</v>
      </c>
      <c r="AB18" s="147">
        <f t="shared" si="23"/>
        <v>32.256</v>
      </c>
      <c r="AC18" s="148">
        <f t="shared" si="24"/>
        <v>34.807499999999997</v>
      </c>
      <c r="AD18" s="149" t="e">
        <f t="shared" si="4"/>
        <v>#REF!</v>
      </c>
      <c r="AE18" s="180" t="e">
        <f t="shared" si="5"/>
        <v>#REF!</v>
      </c>
      <c r="AF18" s="150">
        <f t="shared" si="6"/>
        <v>81.2</v>
      </c>
      <c r="AI18" s="138">
        <v>44986</v>
      </c>
      <c r="AJ18" s="139">
        <f t="shared" si="25"/>
        <v>3</v>
      </c>
      <c r="AK18" s="151">
        <v>1545</v>
      </c>
      <c r="AL18" s="141">
        <f t="shared" si="41"/>
        <v>1500</v>
      </c>
      <c r="AM18" s="142">
        <f t="shared" si="7"/>
        <v>4077.0518052045272</v>
      </c>
      <c r="AN18" s="143">
        <f t="shared" si="8"/>
        <v>3331.4284761969575</v>
      </c>
      <c r="AO18" s="143">
        <f t="shared" si="9"/>
        <v>1840.1818181818182</v>
      </c>
      <c r="AP18" s="143">
        <f t="shared" si="10"/>
        <v>348.93516016667877</v>
      </c>
      <c r="AQ18" s="144">
        <f t="shared" si="11"/>
        <v>0</v>
      </c>
      <c r="AR18" s="145">
        <v>15</v>
      </c>
      <c r="AS18" s="143">
        <f t="shared" si="36"/>
        <v>-885.54545454545541</v>
      </c>
      <c r="AT18" s="141" t="e">
        <f t="shared" si="26"/>
        <v>#N/A</v>
      </c>
      <c r="AU18" s="144">
        <f t="shared" si="27"/>
        <v>-885.54545454545541</v>
      </c>
      <c r="AV18" s="187">
        <f t="shared" si="28"/>
        <v>1.1910561929979406</v>
      </c>
      <c r="AW18" s="184">
        <f t="shared" si="29"/>
        <v>1.1910561929979406</v>
      </c>
      <c r="AX18" s="293">
        <f t="shared" si="37"/>
        <v>34.333333333333336</v>
      </c>
      <c r="AY18" s="290">
        <f t="shared" si="38"/>
        <v>36.371043771043773</v>
      </c>
      <c r="AZ18" s="291">
        <f t="shared" si="39"/>
        <v>45</v>
      </c>
      <c r="BA18" s="146"/>
      <c r="BC18" s="138">
        <v>44986</v>
      </c>
      <c r="BD18" s="139">
        <f t="shared" si="30"/>
        <v>3</v>
      </c>
      <c r="BE18" s="151">
        <v>472</v>
      </c>
      <c r="BF18" s="141">
        <v>2500</v>
      </c>
      <c r="BG18" s="142">
        <f t="shared" si="12"/>
        <v>662.93194478119517</v>
      </c>
      <c r="BH18" s="143">
        <f t="shared" si="13"/>
        <v>614.65159955109982</v>
      </c>
      <c r="BI18" s="143">
        <f t="shared" si="14"/>
        <v>518.09090909090912</v>
      </c>
      <c r="BJ18" s="143">
        <f t="shared" si="15"/>
        <v>421.53021863071842</v>
      </c>
      <c r="BK18" s="144">
        <f t="shared" si="16"/>
        <v>373.24987340062307</v>
      </c>
      <c r="BL18" s="145">
        <v>15</v>
      </c>
      <c r="BM18" s="143">
        <f t="shared" si="40"/>
        <v>377.63636363636317</v>
      </c>
      <c r="BN18" s="141" t="e">
        <f t="shared" si="31"/>
        <v>#N/A</v>
      </c>
      <c r="BO18" s="144">
        <f t="shared" si="32"/>
        <v>377.63636363636317</v>
      </c>
      <c r="BP18" s="187">
        <f t="shared" si="33"/>
        <v>1.0976502311248075</v>
      </c>
      <c r="BQ18" s="184">
        <f t="shared" si="34"/>
        <v>1.0976502311248075</v>
      </c>
      <c r="BR18" s="192"/>
      <c r="BS18" s="192"/>
    </row>
    <row r="19" spans="1:75">
      <c r="A19" s="20" t="s">
        <v>153</v>
      </c>
      <c r="B19" s="46" t="s">
        <v>154</v>
      </c>
      <c r="C19" s="63" t="e">
        <f>#REF!</f>
        <v>#REF!</v>
      </c>
      <c r="M19" s="138">
        <v>45017</v>
      </c>
      <c r="N19" s="139">
        <f t="shared" si="17"/>
        <v>4</v>
      </c>
      <c r="O19" s="151">
        <v>253000</v>
      </c>
      <c r="P19" s="141">
        <v>2500</v>
      </c>
      <c r="Q19" s="142">
        <f t="shared" si="0"/>
        <v>315156.13704802882</v>
      </c>
      <c r="R19" s="143">
        <f t="shared" si="1"/>
        <v>302187.42469868588</v>
      </c>
      <c r="S19" s="143">
        <f t="shared" si="18"/>
        <v>276250</v>
      </c>
      <c r="T19" s="143">
        <f t="shared" si="2"/>
        <v>250312.57530131412</v>
      </c>
      <c r="U19" s="144">
        <f t="shared" si="3"/>
        <v>237343.86295197118</v>
      </c>
      <c r="V19" s="145">
        <v>16</v>
      </c>
      <c r="W19" s="145">
        <f t="shared" si="35"/>
        <v>-30000</v>
      </c>
      <c r="X19" s="141" t="e">
        <f t="shared" si="19"/>
        <v>#N/A</v>
      </c>
      <c r="Y19" s="139">
        <f t="shared" si="20"/>
        <v>-30000</v>
      </c>
      <c r="Z19" s="146">
        <f t="shared" si="21"/>
        <v>1.0918972332015811</v>
      </c>
      <c r="AA19" s="146">
        <f t="shared" si="22"/>
        <v>1.0918972332015811</v>
      </c>
      <c r="AB19" s="147">
        <f t="shared" si="23"/>
        <v>31.878</v>
      </c>
      <c r="AC19" s="148">
        <f t="shared" si="24"/>
        <v>34.807499999999997</v>
      </c>
      <c r="AD19" s="149" t="e">
        <f t="shared" si="4"/>
        <v>#REF!</v>
      </c>
      <c r="AE19" s="180" t="e">
        <f t="shared" si="5"/>
        <v>#REF!</v>
      </c>
      <c r="AF19" s="150">
        <f t="shared" si="6"/>
        <v>81.2</v>
      </c>
      <c r="AI19" s="138">
        <v>45017</v>
      </c>
      <c r="AJ19" s="139">
        <f t="shared" si="25"/>
        <v>4</v>
      </c>
      <c r="AK19" s="151">
        <v>1545</v>
      </c>
      <c r="AL19" s="141">
        <f t="shared" si="41"/>
        <v>1500</v>
      </c>
      <c r="AM19" s="142">
        <f t="shared" si="7"/>
        <v>4077.0518052045272</v>
      </c>
      <c r="AN19" s="143">
        <f t="shared" si="8"/>
        <v>3331.4284761969575</v>
      </c>
      <c r="AO19" s="143">
        <f t="shared" si="9"/>
        <v>1840.1818181818182</v>
      </c>
      <c r="AP19" s="143">
        <f t="shared" si="10"/>
        <v>348.93516016667877</v>
      </c>
      <c r="AQ19" s="144">
        <f t="shared" si="11"/>
        <v>0</v>
      </c>
      <c r="AR19" s="145">
        <v>16</v>
      </c>
      <c r="AS19" s="143">
        <f t="shared" si="36"/>
        <v>-1180.7272727272737</v>
      </c>
      <c r="AT19" s="141" t="e">
        <f t="shared" si="26"/>
        <v>#N/A</v>
      </c>
      <c r="AU19" s="144">
        <f t="shared" si="27"/>
        <v>-1180.7272727272737</v>
      </c>
      <c r="AV19" s="187">
        <f t="shared" si="28"/>
        <v>1.1910561929979406</v>
      </c>
      <c r="AW19" s="184">
        <f t="shared" si="29"/>
        <v>1.1910561929979406</v>
      </c>
      <c r="AX19" s="293">
        <f t="shared" si="37"/>
        <v>34.333333333333336</v>
      </c>
      <c r="AY19" s="290">
        <f t="shared" si="38"/>
        <v>36.371043771043773</v>
      </c>
      <c r="AZ19" s="291">
        <f t="shared" si="39"/>
        <v>45</v>
      </c>
      <c r="BA19" s="146"/>
      <c r="BC19" s="138">
        <v>45017</v>
      </c>
      <c r="BD19" s="139">
        <f t="shared" si="30"/>
        <v>4</v>
      </c>
      <c r="BE19" s="151">
        <v>558</v>
      </c>
      <c r="BF19" s="141">
        <v>2500</v>
      </c>
      <c r="BG19" s="142">
        <f t="shared" si="12"/>
        <v>662.93194478119517</v>
      </c>
      <c r="BH19" s="143">
        <f t="shared" si="13"/>
        <v>614.65159955109982</v>
      </c>
      <c r="BI19" s="143">
        <f t="shared" si="14"/>
        <v>518.09090909090912</v>
      </c>
      <c r="BJ19" s="143">
        <f t="shared" si="15"/>
        <v>421.53021863071842</v>
      </c>
      <c r="BK19" s="144">
        <f t="shared" si="16"/>
        <v>373.24987340062307</v>
      </c>
      <c r="BL19" s="145">
        <v>16</v>
      </c>
      <c r="BM19" s="143">
        <f t="shared" si="40"/>
        <v>417.54545454545405</v>
      </c>
      <c r="BN19" s="141">
        <f t="shared" si="31"/>
        <v>417.54545454545405</v>
      </c>
      <c r="BO19" s="144" t="e">
        <f t="shared" si="32"/>
        <v>#N/A</v>
      </c>
      <c r="BP19" s="187">
        <f t="shared" si="33"/>
        <v>0.92847833170413818</v>
      </c>
      <c r="BQ19" s="184" t="e">
        <f t="shared" si="34"/>
        <v>#N/A</v>
      </c>
      <c r="BR19" s="192"/>
      <c r="BS19" s="192"/>
    </row>
    <row r="20" spans="1:75" s="33" customFormat="1" ht="15.75">
      <c r="A20" s="20" t="s">
        <v>155</v>
      </c>
      <c r="B20" s="46" t="str">
        <f>B14&amp;"/"&amp;B19</f>
        <v>COP/m2</v>
      </c>
      <c r="C20" s="64" t="e">
        <f>+C14/C19</f>
        <v>#REF!</v>
      </c>
      <c r="M20" s="152">
        <v>45047</v>
      </c>
      <c r="N20" s="153">
        <f t="shared" si="17"/>
        <v>5</v>
      </c>
      <c r="O20" s="154">
        <v>255000</v>
      </c>
      <c r="P20" s="155">
        <v>2500</v>
      </c>
      <c r="Q20" s="156">
        <f t="shared" si="0"/>
        <v>315156.13704802882</v>
      </c>
      <c r="R20" s="157">
        <f t="shared" si="1"/>
        <v>302187.42469868588</v>
      </c>
      <c r="S20" s="157">
        <f t="shared" si="18"/>
        <v>276250</v>
      </c>
      <c r="T20" s="157">
        <f t="shared" si="2"/>
        <v>250312.57530131412</v>
      </c>
      <c r="U20" s="158">
        <f t="shared" si="3"/>
        <v>237343.86295197118</v>
      </c>
      <c r="V20" s="159">
        <v>17</v>
      </c>
      <c r="W20" s="159">
        <f t="shared" si="35"/>
        <v>-51250</v>
      </c>
      <c r="X20" s="160" t="e">
        <f t="shared" si="19"/>
        <v>#N/A</v>
      </c>
      <c r="Y20" s="153">
        <f t="shared" si="20"/>
        <v>-51250</v>
      </c>
      <c r="Z20" s="161">
        <f t="shared" si="21"/>
        <v>1.0833333333333333</v>
      </c>
      <c r="AA20" s="161">
        <f t="shared" si="22"/>
        <v>1.0833333333333333</v>
      </c>
      <c r="AB20" s="162">
        <f t="shared" si="23"/>
        <v>32.130000000000003</v>
      </c>
      <c r="AC20" s="163">
        <f t="shared" si="24"/>
        <v>34.807499999999997</v>
      </c>
      <c r="AD20" s="164" t="e">
        <f t="shared" si="4"/>
        <v>#REF!</v>
      </c>
      <c r="AE20" s="276" t="e">
        <f t="shared" si="5"/>
        <v>#REF!</v>
      </c>
      <c r="AF20" s="165">
        <f t="shared" si="6"/>
        <v>81.2</v>
      </c>
      <c r="AI20" s="138">
        <v>45047</v>
      </c>
      <c r="AJ20" s="139">
        <f t="shared" si="25"/>
        <v>5</v>
      </c>
      <c r="AK20" s="151">
        <v>1545</v>
      </c>
      <c r="AL20" s="141">
        <f t="shared" si="41"/>
        <v>1500</v>
      </c>
      <c r="AM20" s="142">
        <f t="shared" si="7"/>
        <v>4077.0518052045272</v>
      </c>
      <c r="AN20" s="143">
        <f t="shared" si="8"/>
        <v>3331.4284761969575</v>
      </c>
      <c r="AO20" s="143">
        <f t="shared" si="9"/>
        <v>1840.1818181818182</v>
      </c>
      <c r="AP20" s="143">
        <f t="shared" si="10"/>
        <v>348.93516016667877</v>
      </c>
      <c r="AQ20" s="144">
        <f t="shared" si="11"/>
        <v>0</v>
      </c>
      <c r="AR20" s="145">
        <v>17</v>
      </c>
      <c r="AS20" s="143">
        <f t="shared" si="36"/>
        <v>-1475.9090909090919</v>
      </c>
      <c r="AT20" s="141" t="e">
        <f t="shared" si="26"/>
        <v>#N/A</v>
      </c>
      <c r="AU20" s="144">
        <f t="shared" si="27"/>
        <v>-1475.9090909090919</v>
      </c>
      <c r="AV20" s="187">
        <f t="shared" si="28"/>
        <v>1.1910561929979406</v>
      </c>
      <c r="AW20" s="184">
        <f t="shared" si="29"/>
        <v>1.1910561929979406</v>
      </c>
      <c r="AX20" s="293">
        <f t="shared" si="37"/>
        <v>34.333333333333336</v>
      </c>
      <c r="AY20" s="290">
        <f t="shared" si="38"/>
        <v>36.371043771043773</v>
      </c>
      <c r="AZ20" s="291">
        <f t="shared" si="39"/>
        <v>45</v>
      </c>
      <c r="BA20" s="146"/>
      <c r="BC20" s="138">
        <v>45047</v>
      </c>
      <c r="BD20" s="139">
        <f t="shared" si="30"/>
        <v>5</v>
      </c>
      <c r="BE20" s="151">
        <v>420</v>
      </c>
      <c r="BF20" s="141">
        <v>2500</v>
      </c>
      <c r="BG20" s="142">
        <f t="shared" si="12"/>
        <v>662.93194478119517</v>
      </c>
      <c r="BH20" s="143">
        <f t="shared" si="13"/>
        <v>614.65159955109982</v>
      </c>
      <c r="BI20" s="143">
        <f t="shared" si="14"/>
        <v>518.09090909090912</v>
      </c>
      <c r="BJ20" s="143">
        <f t="shared" si="15"/>
        <v>421.53021863071842</v>
      </c>
      <c r="BK20" s="144">
        <f t="shared" si="16"/>
        <v>373.24987340062307</v>
      </c>
      <c r="BL20" s="145">
        <v>17</v>
      </c>
      <c r="BM20" s="143">
        <f t="shared" si="40"/>
        <v>319.45454545454493</v>
      </c>
      <c r="BN20" s="141" t="e">
        <f t="shared" si="31"/>
        <v>#N/A</v>
      </c>
      <c r="BO20" s="144">
        <f t="shared" si="32"/>
        <v>319.45454545454493</v>
      </c>
      <c r="BP20" s="187">
        <f t="shared" si="33"/>
        <v>1.2335497835497837</v>
      </c>
      <c r="BQ20" s="184">
        <f t="shared" si="34"/>
        <v>1.2335497835497837</v>
      </c>
      <c r="BR20" s="192"/>
      <c r="BS20" s="192"/>
    </row>
    <row r="21" spans="1:75" s="33" customFormat="1" ht="21">
      <c r="A21" s="20" t="s">
        <v>156</v>
      </c>
      <c r="B21" s="46" t="str">
        <f>+B4&amp;"/"&amp;B19</f>
        <v>kWh/m2</v>
      </c>
      <c r="C21" s="65" t="e">
        <f>C4/C19</f>
        <v>#REF!</v>
      </c>
      <c r="AI21" s="152">
        <v>45078</v>
      </c>
      <c r="AJ21" s="153">
        <f>MONTH(AI21)</f>
        <v>6</v>
      </c>
      <c r="AK21" s="154">
        <v>1545</v>
      </c>
      <c r="AL21" s="160">
        <f t="shared" si="41"/>
        <v>1500</v>
      </c>
      <c r="AM21" s="156">
        <f t="shared" si="7"/>
        <v>4077.0518052045272</v>
      </c>
      <c r="AN21" s="157">
        <f t="shared" si="8"/>
        <v>3331.4284761969575</v>
      </c>
      <c r="AO21" s="157">
        <f t="shared" si="9"/>
        <v>1840.1818181818182</v>
      </c>
      <c r="AP21" s="157">
        <f t="shared" si="10"/>
        <v>348.93516016667877</v>
      </c>
      <c r="AQ21" s="158">
        <f t="shared" si="11"/>
        <v>0</v>
      </c>
      <c r="AR21" s="159">
        <v>18</v>
      </c>
      <c r="AS21" s="157">
        <f>(AK21-AO21)+AS20</f>
        <v>-1771.0909090909101</v>
      </c>
      <c r="AT21" s="160" t="e">
        <f t="shared" ref="AT21" si="42">IF(AK21&gt;AO21,AS21,NA())</f>
        <v>#N/A</v>
      </c>
      <c r="AU21" s="158">
        <f t="shared" ref="AU21" si="43">IF(AK21&lt;AO21,AS21,NA())</f>
        <v>-1771.0909090909101</v>
      </c>
      <c r="AV21" s="188">
        <f t="shared" ref="AV21" si="44">AO21/AK21</f>
        <v>1.1910561929979406</v>
      </c>
      <c r="AW21" s="185">
        <f t="shared" ref="AW21" si="45">IF(AV21&gt;=1,AV21,NA())</f>
        <v>1.1910561929979406</v>
      </c>
      <c r="AX21" s="294">
        <f t="shared" si="37"/>
        <v>34.333333333333336</v>
      </c>
      <c r="AY21" s="295">
        <f t="shared" si="38"/>
        <v>36.371043771043773</v>
      </c>
      <c r="AZ21" s="296">
        <f t="shared" si="39"/>
        <v>45</v>
      </c>
      <c r="BA21" s="146"/>
      <c r="BC21" s="152">
        <v>45078</v>
      </c>
      <c r="BD21" s="153">
        <f>MONTH(BC21)</f>
        <v>6</v>
      </c>
      <c r="BE21" s="154">
        <v>135</v>
      </c>
      <c r="BF21" s="160">
        <v>2500</v>
      </c>
      <c r="BG21" s="156">
        <f t="shared" si="12"/>
        <v>662.93194478119517</v>
      </c>
      <c r="BH21" s="157">
        <f t="shared" si="13"/>
        <v>614.65159955109982</v>
      </c>
      <c r="BI21" s="157">
        <f t="shared" si="14"/>
        <v>518.09090909090912</v>
      </c>
      <c r="BJ21" s="157">
        <f t="shared" si="15"/>
        <v>421.53021863071842</v>
      </c>
      <c r="BK21" s="158">
        <f t="shared" si="16"/>
        <v>373.24987340062307</v>
      </c>
      <c r="BL21" s="159">
        <v>18</v>
      </c>
      <c r="BM21" s="157">
        <f>(BE21-BI21)+BM20</f>
        <v>-63.636363636364194</v>
      </c>
      <c r="BN21" s="160" t="e">
        <f>IF(BE21&gt;BI21,BM21,NA())</f>
        <v>#N/A</v>
      </c>
      <c r="BO21" s="158">
        <f>IF(BE21&lt;BI21,BM21,NA())</f>
        <v>-63.636363636364194</v>
      </c>
      <c r="BP21" s="188">
        <f>BI21/BE21</f>
        <v>3.8377104377104381</v>
      </c>
      <c r="BQ21" s="185">
        <f>IF(BP21&gt;=1,BP21,NA())</f>
        <v>3.8377104377104381</v>
      </c>
      <c r="BV21" s="192"/>
      <c r="BW21" s="192"/>
    </row>
    <row r="22" spans="1:75" s="52" customFormat="1" ht="19.149999999999999" customHeight="1">
      <c r="A22" s="20" t="s">
        <v>157</v>
      </c>
      <c r="B22" s="46" t="str">
        <f>+B8&amp;"/"&amp;B19</f>
        <v>m3/m2</v>
      </c>
      <c r="C22" s="65" t="e">
        <f>+C8/C19</f>
        <v>#REF!</v>
      </c>
    </row>
    <row r="23" spans="1:75" ht="21.95" customHeight="1">
      <c r="A23" s="170" t="s">
        <v>158</v>
      </c>
      <c r="B23" s="167" t="str">
        <f>+B12&amp;"/"&amp;B19</f>
        <v>m3/m2</v>
      </c>
      <c r="C23" s="171" t="e">
        <f>+C12/C19</f>
        <v>#REF!</v>
      </c>
      <c r="M23" s="445" t="s">
        <v>159</v>
      </c>
      <c r="N23" s="446"/>
      <c r="AI23" s="445" t="s">
        <v>160</v>
      </c>
      <c r="AJ23" s="446"/>
      <c r="AO23" s="112"/>
      <c r="AP23" s="112"/>
      <c r="AQ23" s="112"/>
      <c r="BC23" s="445" t="s">
        <v>161</v>
      </c>
      <c r="BD23" s="446"/>
    </row>
    <row r="24" spans="1:75">
      <c r="M24" s="110" t="s">
        <v>162</v>
      </c>
      <c r="N24" s="111">
        <v>2022</v>
      </c>
      <c r="AI24" s="110" t="s">
        <v>162</v>
      </c>
      <c r="AJ24" s="111">
        <v>2022</v>
      </c>
      <c r="AO24" s="112"/>
      <c r="AP24" s="112"/>
      <c r="AQ24" s="112"/>
      <c r="BC24" s="110" t="s">
        <v>162</v>
      </c>
      <c r="BD24" s="111">
        <v>2022</v>
      </c>
    </row>
    <row r="25" spans="1:75">
      <c r="M25" s="113" t="s">
        <v>163</v>
      </c>
      <c r="N25" s="114">
        <f>AVERAGE(O4:O15)</f>
        <v>276250</v>
      </c>
      <c r="AI25" s="113" t="s">
        <v>164</v>
      </c>
      <c r="AJ25" s="114">
        <f>AVERAGE(AK5:AK15)</f>
        <v>1840.1818181818182</v>
      </c>
      <c r="AO25" s="112"/>
      <c r="AP25" s="112"/>
      <c r="AQ25" s="112"/>
      <c r="BC25" s="113" t="s">
        <v>164</v>
      </c>
      <c r="BD25" s="114">
        <f>AVERAGE(BE5:BE15)</f>
        <v>518.09090909090912</v>
      </c>
    </row>
    <row r="26" spans="1:75">
      <c r="M26" s="110" t="s">
        <v>165</v>
      </c>
      <c r="N26" s="114">
        <f>_xlfn.STDEV.P(O4:O15)</f>
        <v>12968.712349342937</v>
      </c>
      <c r="AI26" s="110" t="s">
        <v>166</v>
      </c>
      <c r="AJ26" s="114">
        <f>_xlfn.STDEV.P(AK5:AK15)</f>
        <v>745.62332900756974</v>
      </c>
      <c r="AO26" s="112"/>
      <c r="AP26" s="112"/>
      <c r="AQ26" s="112"/>
      <c r="BC26" s="110" t="s">
        <v>166</v>
      </c>
      <c r="BD26" s="114">
        <f>_xlfn.STDEV.P(BE5:BE15)</f>
        <v>48.280345230095342</v>
      </c>
    </row>
    <row r="27" spans="1:75">
      <c r="M27" s="110" t="s">
        <v>167</v>
      </c>
      <c r="N27" s="114">
        <f>N29+3*N26</f>
        <v>315156.13704802882</v>
      </c>
      <c r="AI27" s="110" t="s">
        <v>167</v>
      </c>
      <c r="AJ27" s="114">
        <f>AJ29+3*AJ26</f>
        <v>4077.0518052045272</v>
      </c>
      <c r="AO27" s="112"/>
      <c r="AP27" s="112"/>
      <c r="AQ27" s="178"/>
      <c r="BC27" s="110" t="s">
        <v>167</v>
      </c>
      <c r="BD27" s="114">
        <f>BD29+3*BD26</f>
        <v>662.93194478119517</v>
      </c>
    </row>
    <row r="28" spans="1:75">
      <c r="M28" s="110" t="s">
        <v>132</v>
      </c>
      <c r="N28" s="114">
        <f>N29+2*N26</f>
        <v>302187.42469868588</v>
      </c>
      <c r="AI28" s="110" t="s">
        <v>132</v>
      </c>
      <c r="AJ28" s="114">
        <f>AJ29+2*AJ26</f>
        <v>3331.4284761969575</v>
      </c>
      <c r="AO28" s="112"/>
      <c r="AP28" s="112"/>
      <c r="AQ28" s="112"/>
      <c r="BC28" s="110" t="s">
        <v>132</v>
      </c>
      <c r="BD28" s="114">
        <f>BD29+2*BD26</f>
        <v>614.65159955109982</v>
      </c>
    </row>
    <row r="29" spans="1:75">
      <c r="M29" s="110" t="s">
        <v>133</v>
      </c>
      <c r="N29" s="114">
        <f>N25</f>
        <v>276250</v>
      </c>
      <c r="AI29" s="110" t="s">
        <v>133</v>
      </c>
      <c r="AJ29" s="114">
        <f>AJ25</f>
        <v>1840.1818181818182</v>
      </c>
      <c r="AO29" s="112"/>
      <c r="BC29" s="110" t="s">
        <v>133</v>
      </c>
      <c r="BD29" s="114">
        <f>BD25</f>
        <v>518.09090909090912</v>
      </c>
    </row>
    <row r="30" spans="1:75">
      <c r="M30" s="110" t="s">
        <v>134</v>
      </c>
      <c r="N30" s="114">
        <f>N29-2*N26</f>
        <v>250312.57530131412</v>
      </c>
      <c r="AI30" s="110" t="s">
        <v>134</v>
      </c>
      <c r="AJ30" s="114">
        <f>AJ29-2*AJ26</f>
        <v>348.93516016667877</v>
      </c>
      <c r="AO30" s="112"/>
      <c r="AP30" s="112"/>
      <c r="AQ30" s="112"/>
      <c r="BC30" s="110" t="s">
        <v>134</v>
      </c>
      <c r="BD30" s="114">
        <f>BD29-2*BD26</f>
        <v>421.53021863071842</v>
      </c>
    </row>
    <row r="31" spans="1:75">
      <c r="M31" s="110" t="s">
        <v>168</v>
      </c>
      <c r="N31" s="114">
        <f>N29-3*N26</f>
        <v>237343.86295197118</v>
      </c>
      <c r="AI31" s="110" t="s">
        <v>168</v>
      </c>
      <c r="AJ31" s="114">
        <v>0</v>
      </c>
      <c r="AO31" s="112"/>
      <c r="AP31" s="112"/>
      <c r="AQ31" s="112"/>
      <c r="BC31" s="110" t="s">
        <v>168</v>
      </c>
      <c r="BD31" s="114">
        <f>BD29-3*BD26</f>
        <v>373.24987340062307</v>
      </c>
    </row>
    <row r="32" spans="1:75">
      <c r="A32" s="172"/>
      <c r="C32" s="86"/>
      <c r="G32" s="19"/>
      <c r="M32" s="112"/>
      <c r="N32" s="112"/>
      <c r="AI32" s="112"/>
      <c r="AJ32" s="112"/>
      <c r="AO32" s="112"/>
      <c r="AP32" s="112"/>
      <c r="AQ32" s="112"/>
      <c r="BC32" s="112"/>
      <c r="BD32" s="112"/>
    </row>
    <row r="33" spans="1:56">
      <c r="M33" s="110" t="s">
        <v>169</v>
      </c>
      <c r="N33" s="115" t="e">
        <f>SUM(O4:O15)/C19</f>
        <v>#REF!</v>
      </c>
      <c r="AI33" s="110" t="s">
        <v>170</v>
      </c>
      <c r="AJ33" s="115">
        <f>1000*SUM(AK5:AK15)/AVERAGE(AL5:AL15)/335</f>
        <v>36.925704809286898</v>
      </c>
      <c r="AO33" s="112"/>
      <c r="AP33" s="112"/>
      <c r="AQ33" s="112"/>
      <c r="BC33" s="110" t="s">
        <v>171</v>
      </c>
      <c r="BD33" s="115">
        <f>SUM(BE4:BE15)/365/121</f>
        <v>0.14946224385825879</v>
      </c>
    </row>
    <row r="34" spans="1:56" ht="31.5">
      <c r="M34" s="110" t="s">
        <v>172</v>
      </c>
      <c r="N34" s="116">
        <v>81.2</v>
      </c>
      <c r="AI34" s="301" t="s">
        <v>173</v>
      </c>
      <c r="AJ34" s="302">
        <v>45</v>
      </c>
      <c r="AO34" s="112"/>
      <c r="AP34" s="112"/>
      <c r="AQ34" s="112"/>
      <c r="BC34" s="304" t="s">
        <v>174</v>
      </c>
      <c r="BD34" s="302">
        <v>2.09</v>
      </c>
    </row>
    <row r="35" spans="1:56">
      <c r="A35" s="79"/>
      <c r="B35" s="175"/>
      <c r="C35" s="175"/>
      <c r="D35" s="175"/>
      <c r="E35" s="175"/>
      <c r="F35" s="175"/>
      <c r="M35" s="166"/>
      <c r="N35" s="112"/>
      <c r="AI35" s="110" t="s">
        <v>175</v>
      </c>
      <c r="AJ35" s="300" t="e">
        <f>+AJ33/1000*AVERAGE(AL5:AL15)*335/C19</f>
        <v>#REF!</v>
      </c>
      <c r="AM35" s="166"/>
      <c r="AN35" s="112"/>
      <c r="AO35" s="112"/>
      <c r="AP35" s="112"/>
      <c r="AQ35" s="112"/>
      <c r="BC35" s="303" t="s">
        <v>171</v>
      </c>
      <c r="BD35" s="305" t="e">
        <f>SUM(BE4:BE15)/C19</f>
        <v>#REF!</v>
      </c>
    </row>
    <row r="36" spans="1:56">
      <c r="A36" s="15"/>
      <c r="B36" s="176"/>
      <c r="C36" s="176"/>
      <c r="D36" s="176"/>
      <c r="E36" s="176"/>
      <c r="F36" s="176"/>
      <c r="M36" s="112"/>
      <c r="N36" s="112"/>
      <c r="AI36" s="110" t="s">
        <v>299</v>
      </c>
      <c r="AJ36" s="111">
        <f>1.9801/1000</f>
        <v>1.9800999999999998E-3</v>
      </c>
      <c r="AM36" s="112"/>
      <c r="AN36" s="112"/>
      <c r="AO36" s="112"/>
      <c r="AP36" s="112"/>
      <c r="AQ36" s="112"/>
    </row>
    <row r="37" spans="1:56">
      <c r="A37" s="15"/>
      <c r="B37" s="79"/>
      <c r="C37" s="79"/>
      <c r="D37" s="79"/>
      <c r="E37" s="79"/>
      <c r="F37" s="79"/>
      <c r="G37" s="19"/>
      <c r="H37" s="19"/>
      <c r="M37" s="110" t="s">
        <v>176</v>
      </c>
      <c r="N37" s="117">
        <v>0.126</v>
      </c>
      <c r="AM37" s="166"/>
      <c r="AN37" s="112"/>
      <c r="AO37" s="112"/>
      <c r="AP37" s="112"/>
      <c r="AQ37" s="112"/>
    </row>
    <row r="38" spans="1:56">
      <c r="A38" s="79"/>
      <c r="B38" s="173"/>
      <c r="C38" s="173"/>
      <c r="D38" s="173"/>
      <c r="E38" s="173"/>
      <c r="F38" s="174"/>
      <c r="M38" s="110" t="s">
        <v>177</v>
      </c>
      <c r="N38" s="118" t="e">
        <f>N37*(N34*C19/12)/1000</f>
        <v>#REF!</v>
      </c>
      <c r="AM38" s="166"/>
      <c r="AN38" s="189"/>
      <c r="AO38" s="112"/>
      <c r="AP38" s="112"/>
      <c r="AQ38" s="112"/>
    </row>
    <row r="39" spans="1:56">
      <c r="A39" s="79"/>
      <c r="B39" s="173"/>
      <c r="C39" s="173"/>
      <c r="D39" s="173"/>
      <c r="E39" s="173"/>
      <c r="F39" s="174"/>
    </row>
    <row r="40" spans="1:56">
      <c r="A40" s="79"/>
      <c r="B40" s="173"/>
      <c r="C40" s="173"/>
      <c r="D40" s="173"/>
      <c r="E40" s="173"/>
      <c r="F40" s="174"/>
    </row>
    <row r="41" spans="1:56">
      <c r="A41" s="79"/>
      <c r="B41" s="173"/>
      <c r="C41" s="173"/>
      <c r="D41" s="173"/>
      <c r="E41" s="173"/>
      <c r="F41" s="174"/>
    </row>
    <row r="42" spans="1:56">
      <c r="A42" s="79"/>
      <c r="B42" s="173"/>
      <c r="C42" s="173"/>
      <c r="D42" s="173"/>
      <c r="E42" s="173"/>
      <c r="F42" s="174"/>
    </row>
    <row r="43" spans="1:56">
      <c r="A43" s="79"/>
      <c r="B43" s="173"/>
      <c r="C43" s="173"/>
      <c r="D43" s="173"/>
      <c r="E43" s="173"/>
      <c r="F43" s="174"/>
    </row>
    <row r="44" spans="1:56">
      <c r="A44" s="79"/>
      <c r="B44" s="173"/>
      <c r="C44" s="173"/>
      <c r="D44" s="173"/>
      <c r="E44" s="173"/>
      <c r="F44" s="174"/>
    </row>
    <row r="45" spans="1:56">
      <c r="A45" s="79"/>
      <c r="B45" s="173"/>
      <c r="C45" s="173"/>
      <c r="D45" s="173"/>
      <c r="E45" s="173"/>
      <c r="F45" s="174"/>
    </row>
    <row r="46" spans="1:56">
      <c r="A46" s="79"/>
      <c r="B46" s="173"/>
      <c r="C46" s="173"/>
      <c r="D46" s="173"/>
      <c r="E46" s="173"/>
      <c r="F46" s="174"/>
    </row>
    <row r="47" spans="1:56">
      <c r="A47" s="79"/>
      <c r="B47" s="173"/>
      <c r="C47" s="173"/>
      <c r="D47" s="173"/>
      <c r="E47" s="173"/>
      <c r="F47" s="174"/>
    </row>
    <row r="48" spans="1:56">
      <c r="A48" s="79"/>
      <c r="B48" s="173"/>
      <c r="C48" s="173"/>
      <c r="D48" s="173"/>
      <c r="E48" s="173"/>
      <c r="F48" s="174"/>
    </row>
    <row r="49" spans="1:6">
      <c r="A49" s="79"/>
      <c r="B49" s="173"/>
      <c r="C49" s="173"/>
      <c r="D49" s="173"/>
      <c r="E49" s="173"/>
      <c r="F49" s="174"/>
    </row>
    <row r="50" spans="1:6">
      <c r="A50" s="79"/>
      <c r="B50" s="16"/>
      <c r="C50" s="16"/>
      <c r="D50" s="16"/>
      <c r="E50" s="16"/>
      <c r="F50" s="16"/>
    </row>
    <row r="51" spans="1:6">
      <c r="A51" s="15"/>
      <c r="B51" s="15"/>
      <c r="C51" s="15"/>
      <c r="D51" s="99"/>
      <c r="E51" s="81"/>
      <c r="F51" s="81"/>
    </row>
  </sheetData>
  <mergeCells count="14">
    <mergeCell ref="M23:N23"/>
    <mergeCell ref="AI23:AJ23"/>
    <mergeCell ref="BC23:BD23"/>
    <mergeCell ref="M2:U2"/>
    <mergeCell ref="AI2:AQ2"/>
    <mergeCell ref="BR2:BS2"/>
    <mergeCell ref="AV2:AW2"/>
    <mergeCell ref="AX2:AZ2"/>
    <mergeCell ref="Z2:AC2"/>
    <mergeCell ref="A17:C17"/>
    <mergeCell ref="A2:A5"/>
    <mergeCell ref="A6:A9"/>
    <mergeCell ref="A10:A13"/>
    <mergeCell ref="BP2:BQ2"/>
  </mergeCells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90"/>
  <sheetViews>
    <sheetView showGridLines="0" zoomScale="130" zoomScaleNormal="130" workbookViewId="0">
      <selection activeCell="C3" sqref="C3"/>
    </sheetView>
  </sheetViews>
  <sheetFormatPr baseColWidth="10" defaultColWidth="11.42578125" defaultRowHeight="12.75"/>
  <cols>
    <col min="1" max="2" width="20.7109375" customWidth="1"/>
    <col min="3" max="3" width="13.85546875" bestFit="1" customWidth="1"/>
    <col min="4" max="4" width="14.28515625" bestFit="1" customWidth="1"/>
    <col min="5" max="5" width="14.28515625" customWidth="1"/>
  </cols>
  <sheetData>
    <row r="1" spans="1:7" ht="13.5" thickBot="1">
      <c r="A1" s="1"/>
      <c r="B1" s="1">
        <v>2022</v>
      </c>
      <c r="C1" s="1">
        <v>2023</v>
      </c>
      <c r="D1" s="1" t="s">
        <v>178</v>
      </c>
    </row>
    <row r="2" spans="1:7" ht="13.5" thickBot="1">
      <c r="A2" s="1" t="s">
        <v>179</v>
      </c>
      <c r="B2" s="30"/>
      <c r="C2" s="30"/>
      <c r="D2" s="51">
        <v>0.05</v>
      </c>
      <c r="F2" s="19"/>
    </row>
    <row r="3" spans="1:7" ht="13.5" thickBot="1">
      <c r="A3" s="1" t="s">
        <v>180</v>
      </c>
      <c r="B3" s="30"/>
      <c r="C3" s="191"/>
      <c r="D3" s="51">
        <v>0.05</v>
      </c>
    </row>
    <row r="4" spans="1:7" ht="13.5" thickBot="1">
      <c r="A4" s="1" t="s">
        <v>181</v>
      </c>
      <c r="B4" s="30"/>
      <c r="C4" s="191"/>
      <c r="D4" s="51">
        <v>0.05</v>
      </c>
    </row>
    <row r="5" spans="1:7" ht="13.5" thickBot="1">
      <c r="A5" s="71"/>
      <c r="B5" s="195"/>
      <c r="C5" s="195"/>
      <c r="D5" s="196"/>
    </row>
    <row r="7" spans="1:7" ht="6.75" customHeight="1"/>
    <row r="8" spans="1:7" ht="13.5" thickBot="1">
      <c r="A8" s="1" t="s">
        <v>182</v>
      </c>
      <c r="B8" s="1" t="s">
        <v>98</v>
      </c>
      <c r="C8" s="1" t="s">
        <v>183</v>
      </c>
    </row>
    <row r="9" spans="1:7" ht="13.5" thickBot="1">
      <c r="A9" s="1" t="s">
        <v>2</v>
      </c>
      <c r="B9" s="34" t="str">
        <f>+Electricidad!K1</f>
        <v xml:space="preserve"> COP /kWh</v>
      </c>
      <c r="C9" s="312">
        <v>598.40629999999999</v>
      </c>
      <c r="G9" s="29"/>
    </row>
    <row r="10" spans="1:7" ht="13.5" thickBot="1">
      <c r="A10" s="1" t="s">
        <v>3</v>
      </c>
      <c r="B10" s="34" t="str">
        <f>+'Gas natural'!N1</f>
        <v xml:space="preserve"> COP /m3</v>
      </c>
      <c r="C10" s="312">
        <v>2740.2986052220881</v>
      </c>
    </row>
    <row r="11" spans="1:7" ht="13.5" thickBot="1">
      <c r="A11" s="1" t="s">
        <v>24</v>
      </c>
      <c r="B11" s="34" t="str">
        <f>+'Consumo de agua'!N1</f>
        <v xml:space="preserve"> COP /m3</v>
      </c>
      <c r="C11" s="312">
        <v>6238.0704732592994</v>
      </c>
    </row>
    <row r="14" spans="1:7" ht="6.75" customHeight="1">
      <c r="C14" s="36"/>
      <c r="D14" s="36"/>
    </row>
    <row r="15" spans="1:7">
      <c r="A15" s="1" t="s">
        <v>184</v>
      </c>
      <c r="B15" s="1" t="s">
        <v>98</v>
      </c>
      <c r="C15" s="1" t="s">
        <v>81</v>
      </c>
    </row>
    <row r="16" spans="1:7">
      <c r="A16" s="1" t="s">
        <v>2</v>
      </c>
      <c r="B16" s="34" t="str">
        <f>Electricidad!B1</f>
        <v>kWh</v>
      </c>
      <c r="C16" s="66">
        <f>+Electricidad!E17</f>
        <v>272688.02777777775</v>
      </c>
    </row>
    <row r="17" spans="1:4">
      <c r="A17" s="1" t="s">
        <v>3</v>
      </c>
      <c r="B17" s="34" t="str">
        <f>'Gas natural'!C1</f>
        <v>m3</v>
      </c>
      <c r="C17" s="66">
        <f>+'Gas natural'!E16</f>
        <v>510.75</v>
      </c>
    </row>
    <row r="18" spans="1:4">
      <c r="A18" s="1" t="s">
        <v>24</v>
      </c>
      <c r="B18" s="34" t="str">
        <f>'Consumo de agua'!C1</f>
        <v>m3</v>
      </c>
      <c r="C18" s="66">
        <f>+'Consumo de agua'!E17</f>
        <v>1618.5833333333333</v>
      </c>
    </row>
    <row r="19" spans="1:4">
      <c r="D19" s="67"/>
    </row>
    <row r="85" spans="1:2">
      <c r="A85" s="19" t="s">
        <v>112</v>
      </c>
      <c r="B85" s="19"/>
    </row>
    <row r="86" spans="1:2">
      <c r="A86" s="19" t="s">
        <v>185</v>
      </c>
      <c r="B86" s="19"/>
    </row>
    <row r="87" spans="1:2">
      <c r="A87" s="19" t="s">
        <v>186</v>
      </c>
      <c r="B87" s="19"/>
    </row>
    <row r="88" spans="1:2">
      <c r="A88" s="19" t="s">
        <v>187</v>
      </c>
      <c r="B88" s="19"/>
    </row>
    <row r="89" spans="1:2">
      <c r="A89" s="19" t="s">
        <v>188</v>
      </c>
      <c r="B89" s="19"/>
    </row>
    <row r="90" spans="1:2">
      <c r="A90" s="19" t="s">
        <v>189</v>
      </c>
      <c r="B90" s="19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2"/>
  <dimension ref="A1:I26"/>
  <sheetViews>
    <sheetView zoomScale="110" zoomScaleNormal="110" workbookViewId="0">
      <selection activeCell="A3" sqref="A3"/>
    </sheetView>
  </sheetViews>
  <sheetFormatPr baseColWidth="10" defaultColWidth="11.42578125" defaultRowHeight="10.5"/>
  <cols>
    <col min="1" max="1" width="8.7109375" style="13" customWidth="1"/>
    <col min="2" max="2" width="47.85546875" style="6" customWidth="1"/>
    <col min="3" max="16384" width="11.42578125" style="13"/>
  </cols>
  <sheetData>
    <row r="1" spans="1:9">
      <c r="A1" s="447" t="s">
        <v>190</v>
      </c>
      <c r="B1" s="448"/>
      <c r="C1" s="449" t="s">
        <v>191</v>
      </c>
      <c r="D1" s="450"/>
      <c r="E1" s="450"/>
      <c r="F1" s="450"/>
      <c r="G1" s="450"/>
      <c r="H1" s="450"/>
      <c r="I1" s="450"/>
    </row>
    <row r="2" spans="1:9">
      <c r="A2" s="22" t="s">
        <v>192</v>
      </c>
      <c r="B2" s="21" t="s">
        <v>193</v>
      </c>
      <c r="C2" s="21" t="s">
        <v>194</v>
      </c>
      <c r="D2" s="21" t="s">
        <v>195</v>
      </c>
      <c r="E2" s="21" t="s">
        <v>196</v>
      </c>
      <c r="F2" s="21" t="s">
        <v>197</v>
      </c>
      <c r="G2" s="21" t="s">
        <v>198</v>
      </c>
      <c r="H2" s="21" t="s">
        <v>199</v>
      </c>
      <c r="I2" s="21" t="s">
        <v>200</v>
      </c>
    </row>
    <row r="3" spans="1:9" ht="21">
      <c r="A3" s="22" t="s">
        <v>201</v>
      </c>
      <c r="B3" s="310" t="s">
        <v>202</v>
      </c>
      <c r="C3" s="39" t="s">
        <v>203</v>
      </c>
      <c r="D3" s="39"/>
      <c r="E3" s="39"/>
      <c r="F3" s="39"/>
      <c r="G3" s="39"/>
      <c r="H3" s="39"/>
      <c r="I3" s="39"/>
    </row>
    <row r="4" spans="1:9" ht="21">
      <c r="A4" s="311" t="s">
        <v>204</v>
      </c>
      <c r="B4" s="310" t="s">
        <v>205</v>
      </c>
      <c r="C4" s="39" t="s">
        <v>203</v>
      </c>
      <c r="D4" s="39"/>
      <c r="E4" s="39"/>
      <c r="F4" s="39"/>
      <c r="G4" s="39"/>
      <c r="H4" s="39"/>
      <c r="I4" s="39"/>
    </row>
    <row r="5" spans="1:9" ht="21">
      <c r="A5" s="22" t="s">
        <v>206</v>
      </c>
      <c r="B5" s="310" t="s">
        <v>207</v>
      </c>
      <c r="C5" s="39" t="s">
        <v>203</v>
      </c>
      <c r="D5" s="39"/>
      <c r="E5" s="39"/>
      <c r="F5" s="39"/>
      <c r="G5" s="39"/>
      <c r="H5" s="39"/>
      <c r="I5" s="39"/>
    </row>
    <row r="6" spans="1:9" ht="21">
      <c r="A6" s="311" t="s">
        <v>208</v>
      </c>
      <c r="B6" s="38" t="s">
        <v>297</v>
      </c>
      <c r="C6" s="39" t="s">
        <v>203</v>
      </c>
      <c r="D6" s="39"/>
      <c r="E6" s="39"/>
      <c r="F6" s="39"/>
      <c r="G6" s="39"/>
      <c r="H6" s="39"/>
      <c r="I6" s="39"/>
    </row>
    <row r="7" spans="1:9" ht="21">
      <c r="A7" s="22" t="s">
        <v>209</v>
      </c>
      <c r="B7" s="310" t="s">
        <v>210</v>
      </c>
      <c r="C7" s="39" t="s">
        <v>203</v>
      </c>
      <c r="D7" s="39"/>
      <c r="E7" s="39"/>
      <c r="F7" s="39"/>
      <c r="G7" s="39"/>
      <c r="H7" s="39"/>
      <c r="I7" s="39"/>
    </row>
    <row r="8" spans="1:9" ht="21">
      <c r="A8" s="22" t="s">
        <v>211</v>
      </c>
      <c r="B8" s="310" t="s">
        <v>212</v>
      </c>
      <c r="C8" s="39" t="s">
        <v>203</v>
      </c>
      <c r="D8" s="39"/>
      <c r="E8" s="39"/>
      <c r="F8" s="39"/>
      <c r="G8" s="39"/>
      <c r="H8" s="39"/>
      <c r="I8" s="39"/>
    </row>
    <row r="9" spans="1:9" ht="21">
      <c r="A9" s="22" t="s">
        <v>213</v>
      </c>
      <c r="B9" s="310" t="s">
        <v>214</v>
      </c>
      <c r="C9" s="39" t="s">
        <v>203</v>
      </c>
      <c r="D9" s="39"/>
      <c r="E9" s="39"/>
      <c r="F9" s="39"/>
      <c r="G9" s="39"/>
      <c r="H9" s="39"/>
      <c r="I9" s="39"/>
    </row>
    <row r="10" spans="1:9" ht="21">
      <c r="A10" s="311" t="s">
        <v>215</v>
      </c>
      <c r="B10" s="310" t="s">
        <v>216</v>
      </c>
      <c r="C10" s="39" t="s">
        <v>203</v>
      </c>
      <c r="D10" s="39"/>
      <c r="E10" s="39"/>
      <c r="F10" s="39"/>
      <c r="G10" s="39"/>
      <c r="H10" s="39"/>
      <c r="I10" s="39"/>
    </row>
    <row r="11" spans="1:9" ht="31.5">
      <c r="A11" s="22" t="s">
        <v>217</v>
      </c>
      <c r="B11" s="38" t="s">
        <v>218</v>
      </c>
      <c r="C11" s="39"/>
      <c r="D11" s="39"/>
      <c r="E11" s="39"/>
      <c r="F11" s="39"/>
      <c r="G11" s="39"/>
      <c r="H11" s="39"/>
      <c r="I11" s="39" t="s">
        <v>203</v>
      </c>
    </row>
    <row r="12" spans="1:9" ht="21">
      <c r="A12" s="22" t="s">
        <v>219</v>
      </c>
      <c r="B12" s="310" t="s">
        <v>220</v>
      </c>
      <c r="C12" s="39"/>
      <c r="D12" s="39"/>
      <c r="E12" s="39"/>
      <c r="F12" s="39"/>
      <c r="G12" s="39"/>
      <c r="H12" s="39"/>
      <c r="I12" s="39" t="s">
        <v>203</v>
      </c>
    </row>
    <row r="13" spans="1:9" ht="18.75" customHeight="1">
      <c r="A13" s="22" t="s">
        <v>221</v>
      </c>
      <c r="B13" s="310" t="s">
        <v>222</v>
      </c>
      <c r="C13" s="39" t="s">
        <v>203</v>
      </c>
      <c r="D13" s="39"/>
      <c r="E13" s="39"/>
      <c r="F13" s="39"/>
      <c r="G13" s="39"/>
      <c r="H13" s="39"/>
      <c r="I13" s="39"/>
    </row>
    <row r="14" spans="1:9" hidden="1">
      <c r="A14" s="22" t="s">
        <v>223</v>
      </c>
      <c r="B14" s="38"/>
      <c r="C14" s="39"/>
      <c r="D14" s="39"/>
      <c r="E14" s="39"/>
      <c r="F14" s="39"/>
      <c r="G14" s="39"/>
      <c r="H14" s="39"/>
      <c r="I14" s="39"/>
    </row>
    <row r="15" spans="1:9" hidden="1">
      <c r="A15" s="22" t="s">
        <v>224</v>
      </c>
      <c r="B15" s="43"/>
      <c r="C15" s="39"/>
      <c r="D15" s="39"/>
      <c r="E15" s="39"/>
      <c r="F15" s="39"/>
      <c r="G15" s="39"/>
      <c r="H15" s="39"/>
      <c r="I15" s="39"/>
    </row>
    <row r="16" spans="1:9" hidden="1">
      <c r="A16" s="22" t="s">
        <v>225</v>
      </c>
      <c r="B16" s="38"/>
      <c r="C16" s="39"/>
      <c r="D16" s="39"/>
      <c r="E16" s="39"/>
      <c r="F16" s="39"/>
      <c r="G16" s="39"/>
      <c r="H16" s="39"/>
      <c r="I16" s="39"/>
    </row>
    <row r="17" spans="1:9" hidden="1">
      <c r="A17" s="22" t="s">
        <v>226</v>
      </c>
      <c r="B17" s="38"/>
      <c r="C17" s="39"/>
      <c r="D17" s="39"/>
      <c r="E17" s="39"/>
      <c r="F17" s="39"/>
      <c r="G17" s="39"/>
      <c r="H17" s="39"/>
      <c r="I17" s="39"/>
    </row>
    <row r="18" spans="1:9" hidden="1">
      <c r="A18" s="22" t="s">
        <v>227</v>
      </c>
      <c r="B18" s="38"/>
      <c r="C18" s="39"/>
      <c r="D18" s="39"/>
      <c r="E18" s="39"/>
      <c r="F18" s="39"/>
      <c r="G18" s="39"/>
      <c r="H18" s="39"/>
      <c r="I18" s="39"/>
    </row>
    <row r="19" spans="1:9" hidden="1">
      <c r="A19" s="22" t="s">
        <v>228</v>
      </c>
      <c r="B19" s="38"/>
      <c r="C19" s="39"/>
      <c r="D19" s="39"/>
      <c r="E19" s="39"/>
      <c r="F19" s="39"/>
      <c r="G19" s="39"/>
      <c r="H19" s="39"/>
      <c r="I19" s="39"/>
    </row>
    <row r="20" spans="1:9" hidden="1">
      <c r="A20" s="22" t="s">
        <v>229</v>
      </c>
      <c r="B20" s="38"/>
      <c r="C20" s="39"/>
      <c r="D20" s="39"/>
      <c r="E20" s="39"/>
      <c r="F20" s="39"/>
      <c r="G20" s="39"/>
      <c r="H20" s="39"/>
      <c r="I20" s="39"/>
    </row>
    <row r="21" spans="1:9" hidden="1">
      <c r="A21" s="22" t="s">
        <v>230</v>
      </c>
      <c r="B21" s="38"/>
      <c r="C21" s="39"/>
      <c r="D21" s="39"/>
      <c r="E21" s="39"/>
      <c r="F21" s="39"/>
      <c r="G21" s="39"/>
      <c r="H21" s="39"/>
      <c r="I21" s="39"/>
    </row>
    <row r="22" spans="1:9" hidden="1">
      <c r="A22" s="22" t="s">
        <v>231</v>
      </c>
      <c r="B22" s="38"/>
      <c r="C22" s="39"/>
      <c r="D22" s="39"/>
      <c r="E22" s="39"/>
      <c r="F22" s="39"/>
      <c r="G22" s="39"/>
      <c r="H22" s="39"/>
      <c r="I22" s="39"/>
    </row>
    <row r="23" spans="1:9" hidden="1">
      <c r="A23" s="22" t="s">
        <v>232</v>
      </c>
      <c r="B23" s="38"/>
      <c r="C23" s="39"/>
      <c r="D23" s="39"/>
      <c r="E23" s="39"/>
      <c r="F23" s="39"/>
      <c r="G23" s="39"/>
      <c r="H23" s="39"/>
      <c r="I23" s="39"/>
    </row>
    <row r="24" spans="1:9" hidden="1">
      <c r="A24" s="22" t="s">
        <v>233</v>
      </c>
      <c r="B24" s="38"/>
      <c r="C24" s="39"/>
      <c r="D24" s="39"/>
      <c r="E24" s="39"/>
      <c r="F24" s="39"/>
      <c r="G24" s="39"/>
      <c r="H24" s="39"/>
      <c r="I24" s="39"/>
    </row>
    <row r="25" spans="1:9" hidden="1">
      <c r="A25" s="22" t="s">
        <v>234</v>
      </c>
      <c r="B25" s="38"/>
      <c r="C25" s="39"/>
      <c r="D25" s="39"/>
      <c r="E25" s="39"/>
      <c r="F25" s="39"/>
      <c r="G25" s="39"/>
      <c r="H25" s="39"/>
      <c r="I25" s="39"/>
    </row>
    <row r="26" spans="1:9" hidden="1">
      <c r="A26" s="22" t="s">
        <v>235</v>
      </c>
      <c r="B26" s="38"/>
      <c r="C26" s="39"/>
      <c r="D26" s="39"/>
      <c r="E26" s="39"/>
      <c r="F26" s="39"/>
      <c r="G26" s="39"/>
      <c r="H26" s="39"/>
      <c r="I26" s="39"/>
    </row>
  </sheetData>
  <mergeCells count="2">
    <mergeCell ref="A1:B1"/>
    <mergeCell ref="C1:I1"/>
  </mergeCells>
  <phoneticPr fontId="34" type="noConversion"/>
  <pageMargins left="0.7" right="0.7" top="0.75" bottom="0.75" header="0.3" footer="0.3"/>
  <legacyDrawing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bf0ec1-5846-45d3-901d-efa415327165">
      <UserInfo>
        <DisplayName/>
        <AccountId xsi:nil="true"/>
        <AccountType/>
      </UserInfo>
    </SharedWithUsers>
    <MediaLengthInSeconds xmlns="388ba771-cdb3-4ab4-b105-079ba08c4720" xsi:nil="true"/>
    <_Flow_SignoffStatus xmlns="388ba771-cdb3-4ab4-b105-079ba08c4720" xsi:nil="true"/>
    <TaxCatchAll xmlns="484c8c59-755d-4516-b8d2-1621b38262b4" xsi:nil="true"/>
    <lcf76f155ced4ddcb4097134ff3c332f xmlns="388ba771-cdb3-4ab4-b105-079ba08c472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B1D1878DB1335499DDB13F3A4C3009B" ma:contentTypeVersion="19" ma:contentTypeDescription="Ein neues Dokument erstellen." ma:contentTypeScope="" ma:versionID="2764515310b66be40b74970f1ab09e03">
  <xsd:schema xmlns:xsd="http://www.w3.org/2001/XMLSchema" xmlns:xs="http://www.w3.org/2001/XMLSchema" xmlns:p="http://schemas.microsoft.com/office/2006/metadata/properties" xmlns:ns2="388ba771-cdb3-4ab4-b105-079ba08c4720" xmlns:ns3="eabf0ec1-5846-45d3-901d-efa415327165" xmlns:ns4="484c8c59-755d-4516-b8d2-1621b38262b4" targetNamespace="http://schemas.microsoft.com/office/2006/metadata/properties" ma:root="true" ma:fieldsID="09bc53a79a7a89d943a09881b00ab926" ns2:_="" ns3:_="" ns4:_="">
    <xsd:import namespace="388ba771-cdb3-4ab4-b105-079ba08c4720"/>
    <xsd:import namespace="eabf0ec1-5846-45d3-901d-efa415327165"/>
    <xsd:import namespace="484c8c59-755d-4516-b8d2-1621b38262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_Flow_SignoffStatu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8ba771-cdb3-4ab4-b105-079ba08c47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4" nillable="true" ma:displayName="Status Unterschrift" ma:internalName="Status_x0020_Unterschrift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bf0ec1-5846-45d3-901d-efa41532716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4c8c59-755d-4516-b8d2-1621b38262b4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885589fd-bed1-4f41-bda0-46e8ec2024eb}" ma:internalName="TaxCatchAll" ma:showField="CatchAllData" ma:web="eabf0ec1-5846-45d3-901d-efa4153271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E2A6A6-8EA2-4C45-9B51-66A2D3894CE9}">
  <ds:schemaRefs>
    <ds:schemaRef ds:uri="484c8c59-755d-4516-b8d2-1621b38262b4"/>
    <ds:schemaRef ds:uri="http://www.w3.org/XML/1998/namespace"/>
    <ds:schemaRef ds:uri="388ba771-cdb3-4ab4-b105-079ba08c4720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eabf0ec1-5846-45d3-901d-efa415327165"/>
  </ds:schemaRefs>
</ds:datastoreItem>
</file>

<file path=customXml/itemProps2.xml><?xml version="1.0" encoding="utf-8"?>
<ds:datastoreItem xmlns:ds="http://schemas.openxmlformats.org/officeDocument/2006/customXml" ds:itemID="{5542E5F8-5E8B-4C7D-A736-48486B5F90B6}"/>
</file>

<file path=customXml/itemProps3.xml><?xml version="1.0" encoding="utf-8"?>
<ds:datastoreItem xmlns:ds="http://schemas.openxmlformats.org/officeDocument/2006/customXml" ds:itemID="{8956D929-1929-4F01-A300-3550F5BBE68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3</vt:i4>
      </vt:variant>
    </vt:vector>
  </HeadingPairs>
  <TitlesOfParts>
    <vt:vector size="17" baseType="lpstr">
      <vt:lpstr>Unidades de Trabajo</vt:lpstr>
      <vt:lpstr>Listas desplegables</vt:lpstr>
      <vt:lpstr>Electricidad</vt:lpstr>
      <vt:lpstr>Gas natural</vt:lpstr>
      <vt:lpstr>Consumo de agua</vt:lpstr>
      <vt:lpstr>Mantenimiento</vt:lpstr>
      <vt:lpstr>Gráficos de control</vt:lpstr>
      <vt:lpstr>Precios_tarifas</vt:lpstr>
      <vt:lpstr>List of ECMs</vt:lpstr>
      <vt:lpstr>ECM-1</vt:lpstr>
      <vt:lpstr>ECM-5 OTIS</vt:lpstr>
      <vt:lpstr>ECM-5 Otras</vt:lpstr>
      <vt:lpstr>ECM-9</vt:lpstr>
      <vt:lpstr>Resumen ECM-1</vt:lpstr>
      <vt:lpstr>Costo_Energeticos_Mensual</vt:lpstr>
      <vt:lpstr>Electricidad_Mensual_2022</vt:lpstr>
      <vt:lpstr>Electricidad_USE</vt:lpstr>
    </vt:vector>
  </TitlesOfParts>
  <Manager>Jalel chabchoub</Manager>
  <Company>Econoler international Inc.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Cuestionario Instituciones Penitenciarias</dc:title>
  <dc:subject>Cuestionario</dc:subject>
  <dc:creator>UF679125</dc:creator>
  <cp:keywords/>
  <dc:description/>
  <cp:lastModifiedBy>Cristian Saavedra</cp:lastModifiedBy>
  <cp:revision/>
  <dcterms:created xsi:type="dcterms:W3CDTF">2004-04-02T06:51:36Z</dcterms:created>
  <dcterms:modified xsi:type="dcterms:W3CDTF">2024-03-21T14:29:36Z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0x0101003B1D1878DB1335499DDB13F3A4C3009B</vt:lpwstr>
  </property>
  <property fmtid="{D5CDD505-2E9C-101B-9397-08002B2CF9AE}" pid="3" name="Order">
    <vt:r8>35300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MediaServiceImageTags">
    <vt:lpwstr/>
  </property>
</Properties>
</file>